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ДК" sheetId="10" state="hidden" r:id="rId3"/>
    <sheet name="расчет" sheetId="9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</externalReference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3">расчет!$4:$4</definedName>
    <definedName name="_xlnm.Print_Area" localSheetId="0">'Приложение 1'!$A$1:$P$9</definedName>
    <definedName name="_xlnm.Print_Area" localSheetId="1">'Приложение 2 -ТЭО'!$A$1:$AZ$34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AW31" i="6" l="1"/>
  <c r="AS31" i="6"/>
  <c r="AO31" i="6"/>
  <c r="AK31" i="6"/>
  <c r="AG31" i="6"/>
  <c r="AC31" i="6"/>
  <c r="Y31" i="6"/>
  <c r="U31" i="6"/>
  <c r="Q31" i="6"/>
  <c r="M31" i="6"/>
  <c r="J31" i="6"/>
  <c r="F31" i="6" s="1"/>
  <c r="E31" i="6" s="1"/>
  <c r="I31" i="6"/>
  <c r="H31" i="6"/>
  <c r="G31" i="6"/>
  <c r="M27" i="6" l="1"/>
  <c r="I27" i="6"/>
  <c r="H27" i="6"/>
  <c r="F27" i="6"/>
  <c r="M18" i="6"/>
  <c r="I18" i="6"/>
  <c r="H18" i="6"/>
  <c r="F18" i="6"/>
  <c r="M22" i="6"/>
  <c r="I22" i="6"/>
  <c r="H22" i="6"/>
  <c r="F22" i="6"/>
  <c r="M26" i="6"/>
  <c r="I26" i="6"/>
  <c r="H26" i="6"/>
  <c r="F26" i="6"/>
  <c r="I12" i="6"/>
  <c r="H12" i="6"/>
  <c r="F12" i="6"/>
  <c r="I14" i="6"/>
  <c r="H14" i="6"/>
  <c r="F14" i="6"/>
  <c r="M16" i="6"/>
  <c r="I16" i="6"/>
  <c r="H16" i="6"/>
  <c r="F16" i="6"/>
  <c r="M19" i="6"/>
  <c r="I19" i="6"/>
  <c r="H19" i="6"/>
  <c r="F19" i="6"/>
  <c r="I23" i="6"/>
  <c r="H23" i="6"/>
  <c r="F23" i="6"/>
  <c r="M28" i="6"/>
  <c r="I28" i="6"/>
  <c r="H28" i="6"/>
  <c r="F28" i="6"/>
  <c r="M25" i="6"/>
  <c r="I25" i="6"/>
  <c r="H25" i="6"/>
  <c r="F25" i="6"/>
  <c r="M11" i="6"/>
  <c r="I11" i="6"/>
  <c r="H11" i="6"/>
  <c r="F11" i="6"/>
  <c r="M13" i="6"/>
  <c r="I13" i="6"/>
  <c r="H13" i="6"/>
  <c r="F13" i="6"/>
  <c r="I15" i="6"/>
  <c r="H15" i="6"/>
  <c r="F15" i="6"/>
  <c r="M17" i="6"/>
  <c r="I17" i="6"/>
  <c r="H17" i="6"/>
  <c r="F17" i="6"/>
  <c r="I20" i="6"/>
  <c r="H20" i="6"/>
  <c r="F20" i="6"/>
  <c r="I21" i="6"/>
  <c r="H21" i="6"/>
  <c r="F21" i="6"/>
  <c r="I24" i="6"/>
  <c r="H24" i="6"/>
  <c r="F24" i="6"/>
  <c r="I29" i="6"/>
  <c r="H29" i="6"/>
  <c r="F29" i="6"/>
  <c r="AW12" i="6" l="1"/>
  <c r="Y12" i="6"/>
  <c r="Q12" i="6"/>
  <c r="AS12" i="6"/>
  <c r="U12" i="6"/>
  <c r="AK12" i="6"/>
  <c r="AG12" i="6"/>
  <c r="AC12" i="6"/>
  <c r="AO12" i="6"/>
  <c r="M12" i="6"/>
  <c r="AW14" i="6"/>
  <c r="Y14" i="6"/>
  <c r="AK14" i="6"/>
  <c r="AS14" i="6"/>
  <c r="U14" i="6"/>
  <c r="Q14" i="6"/>
  <c r="AG14" i="6"/>
  <c r="AC14" i="6"/>
  <c r="AO14" i="6"/>
  <c r="M14" i="6"/>
  <c r="M23" i="6"/>
  <c r="M15" i="6"/>
  <c r="AW20" i="6"/>
  <c r="Y20" i="6"/>
  <c r="AG20" i="6"/>
  <c r="U20" i="6"/>
  <c r="AS20" i="6"/>
  <c r="Q20" i="6"/>
  <c r="AK20" i="6"/>
  <c r="AC20" i="6"/>
  <c r="AO20" i="6"/>
  <c r="M20" i="6"/>
  <c r="AW21" i="6"/>
  <c r="Y21" i="6"/>
  <c r="AO21" i="6"/>
  <c r="Q21" i="6"/>
  <c r="U21" i="6"/>
  <c r="AK21" i="6"/>
  <c r="AS21" i="6"/>
  <c r="AG21" i="6"/>
  <c r="AC21" i="6"/>
  <c r="M21" i="6"/>
  <c r="M24" i="6"/>
  <c r="AW29" i="6"/>
  <c r="Y29" i="6"/>
  <c r="U29" i="6"/>
  <c r="AO29" i="6"/>
  <c r="Q29" i="6"/>
  <c r="AS29" i="6"/>
  <c r="AK29" i="6"/>
  <c r="AC29" i="6"/>
  <c r="AG29" i="6"/>
  <c r="M29" i="6"/>
  <c r="G20" i="6" l="1"/>
  <c r="E20" i="6" s="1"/>
  <c r="G29" i="6"/>
  <c r="E29" i="6" s="1"/>
  <c r="G12" i="6"/>
  <c r="E12" i="6" s="1"/>
  <c r="G14" i="6"/>
  <c r="E14" i="6" s="1"/>
  <c r="AW27" i="6"/>
  <c r="Y27" i="6"/>
  <c r="Q27" i="6"/>
  <c r="AS27" i="6"/>
  <c r="U27" i="6"/>
  <c r="AO27" i="6"/>
  <c r="AG27" i="6"/>
  <c r="AC27" i="6"/>
  <c r="AK27" i="6"/>
  <c r="AW18" i="6"/>
  <c r="Y18" i="6"/>
  <c r="AK18" i="6"/>
  <c r="AS18" i="6"/>
  <c r="U18" i="6"/>
  <c r="AO18" i="6"/>
  <c r="Q18" i="6"/>
  <c r="AG18" i="6"/>
  <c r="AC18" i="6"/>
  <c r="G18" i="6"/>
  <c r="E18" i="6" s="1"/>
  <c r="AW22" i="6"/>
  <c r="Y22" i="6"/>
  <c r="AS22" i="6"/>
  <c r="U22" i="6"/>
  <c r="AG22" i="6"/>
  <c r="AC22" i="6"/>
  <c r="AO22" i="6"/>
  <c r="Q22" i="6"/>
  <c r="AK22" i="6"/>
  <c r="AW26" i="6"/>
  <c r="Y26" i="6"/>
  <c r="AK26" i="6"/>
  <c r="AG26" i="6"/>
  <c r="AC26" i="6"/>
  <c r="AS26" i="6"/>
  <c r="U26" i="6"/>
  <c r="AO26" i="6"/>
  <c r="Q26" i="6"/>
  <c r="AW16" i="6"/>
  <c r="Y16" i="6"/>
  <c r="Q16" i="6"/>
  <c r="AG16" i="6"/>
  <c r="AK16" i="6"/>
  <c r="AS16" i="6"/>
  <c r="U16" i="6"/>
  <c r="AO16" i="6"/>
  <c r="AC16" i="6"/>
  <c r="AW19" i="6"/>
  <c r="Y19" i="6"/>
  <c r="AK19" i="6"/>
  <c r="AS19" i="6"/>
  <c r="Q19" i="6"/>
  <c r="AG19" i="6"/>
  <c r="AO19" i="6"/>
  <c r="AC19" i="6"/>
  <c r="AW23" i="6"/>
  <c r="Y23" i="6"/>
  <c r="Q23" i="6"/>
  <c r="AK23" i="6"/>
  <c r="AS23" i="6"/>
  <c r="U23" i="6"/>
  <c r="AG23" i="6"/>
  <c r="AC23" i="6"/>
  <c r="AO23" i="6"/>
  <c r="AW28" i="6"/>
  <c r="Y28" i="6"/>
  <c r="Q28" i="6"/>
  <c r="AS28" i="6"/>
  <c r="U28" i="6"/>
  <c r="AK28" i="6"/>
  <c r="AO28" i="6"/>
  <c r="AG28" i="6"/>
  <c r="AC28" i="6"/>
  <c r="AW25" i="6"/>
  <c r="Y25" i="6"/>
  <c r="Q25" i="6"/>
  <c r="AK25" i="6"/>
  <c r="AC25" i="6"/>
  <c r="AS25" i="6"/>
  <c r="U25" i="6"/>
  <c r="AG25" i="6"/>
  <c r="AO25" i="6"/>
  <c r="AW11" i="6"/>
  <c r="Y11" i="6"/>
  <c r="Q11" i="6"/>
  <c r="AC11" i="6"/>
  <c r="AS11" i="6"/>
  <c r="U11" i="6"/>
  <c r="AK11" i="6"/>
  <c r="AO11" i="6"/>
  <c r="AG11" i="6"/>
  <c r="AW13" i="6"/>
  <c r="Y13" i="6"/>
  <c r="AO13" i="6"/>
  <c r="AK13" i="6"/>
  <c r="AS13" i="6"/>
  <c r="U13" i="6"/>
  <c r="Q13" i="6"/>
  <c r="AG13" i="6"/>
  <c r="AC13" i="6"/>
  <c r="AW15" i="6"/>
  <c r="Y15" i="6"/>
  <c r="AK15" i="6"/>
  <c r="AS15" i="6"/>
  <c r="U15" i="6"/>
  <c r="AG15" i="6"/>
  <c r="AO15" i="6"/>
  <c r="Q15" i="6"/>
  <c r="AC15" i="6"/>
  <c r="AW17" i="6"/>
  <c r="Y17" i="6"/>
  <c r="AK17" i="6"/>
  <c r="AS17" i="6"/>
  <c r="U17" i="6"/>
  <c r="Q17" i="6"/>
  <c r="AC17" i="6"/>
  <c r="AG17" i="6"/>
  <c r="AO17" i="6"/>
  <c r="G21" i="6"/>
  <c r="E21" i="6" s="1"/>
  <c r="AW24" i="6"/>
  <c r="Y24" i="6"/>
  <c r="Q24" i="6"/>
  <c r="AG24" i="6"/>
  <c r="AC24" i="6"/>
  <c r="AS24" i="6"/>
  <c r="U24" i="6"/>
  <c r="AO24" i="6"/>
  <c r="AK24" i="6"/>
  <c r="G27" i="6" l="1"/>
  <c r="E27" i="6" s="1"/>
  <c r="G23" i="6"/>
  <c r="E23" i="6" s="1"/>
  <c r="G15" i="6"/>
  <c r="E15" i="6" s="1"/>
  <c r="G28" i="6"/>
  <c r="E28" i="6" s="1"/>
  <c r="G26" i="6"/>
  <c r="E26" i="6" s="1"/>
  <c r="G24" i="6"/>
  <c r="E24" i="6" s="1"/>
  <c r="G22" i="6"/>
  <c r="E22" i="6" s="1"/>
  <c r="G16" i="6"/>
  <c r="E16" i="6" s="1"/>
  <c r="U19" i="6"/>
  <c r="G19" i="6"/>
  <c r="E19" i="6" s="1"/>
  <c r="G25" i="6"/>
  <c r="E25" i="6" s="1"/>
  <c r="G11" i="6"/>
  <c r="E11" i="6" s="1"/>
  <c r="G13" i="6"/>
  <c r="E13" i="6" s="1"/>
  <c r="G17" i="6"/>
  <c r="E17" i="6" s="1"/>
  <c r="I9" i="5" l="1"/>
  <c r="J9" i="5"/>
  <c r="K9" i="5"/>
  <c r="L9" i="5"/>
  <c r="M9" i="5"/>
  <c r="N9" i="5"/>
  <c r="O9" i="5"/>
  <c r="P9" i="5"/>
  <c r="K10" i="6" l="1"/>
  <c r="L10" i="6"/>
  <c r="N10" i="6"/>
  <c r="O10" i="6"/>
  <c r="P10" i="6"/>
  <c r="R10" i="6"/>
  <c r="S10" i="6"/>
  <c r="T10" i="6"/>
  <c r="V10" i="6"/>
  <c r="W10" i="6"/>
  <c r="X10" i="6"/>
  <c r="Z10" i="6"/>
  <c r="AA10" i="6"/>
  <c r="AB10" i="6"/>
  <c r="AD10" i="6"/>
  <c r="AE10" i="6"/>
  <c r="AF10" i="6"/>
  <c r="AH10" i="6"/>
  <c r="AI10" i="6"/>
  <c r="AJ10" i="6"/>
  <c r="AL10" i="6"/>
  <c r="AM10" i="6"/>
  <c r="AN10" i="6"/>
  <c r="AP10" i="6"/>
  <c r="AQ10" i="6"/>
  <c r="AR10" i="6"/>
  <c r="AT10" i="6"/>
  <c r="AU10" i="6"/>
  <c r="AV10" i="6"/>
  <c r="AX10" i="6"/>
  <c r="AY10" i="6"/>
  <c r="AZ10" i="6"/>
  <c r="H9" i="5" l="1"/>
  <c r="G9" i="5"/>
  <c r="AW32" i="6" l="1"/>
  <c r="AS32" i="6"/>
  <c r="AO32" i="6"/>
  <c r="AK32" i="6"/>
  <c r="AG32" i="6"/>
  <c r="AC32" i="6"/>
  <c r="Y32" i="6"/>
  <c r="U32" i="6"/>
  <c r="Q32" i="6"/>
  <c r="M32" i="6"/>
  <c r="J32" i="6"/>
  <c r="F32" i="6" s="1"/>
  <c r="I32" i="6"/>
  <c r="H32" i="6"/>
  <c r="G32" i="6"/>
  <c r="E32" i="6" l="1"/>
  <c r="F9" i="5"/>
  <c r="K33" i="6" l="1"/>
  <c r="L33" i="6"/>
  <c r="N33" i="6"/>
  <c r="N9" i="6" s="1"/>
  <c r="O33" i="6"/>
  <c r="O9" i="6" s="1"/>
  <c r="P33" i="6"/>
  <c r="P9" i="6" s="1"/>
  <c r="R33" i="6"/>
  <c r="R9" i="6" s="1"/>
  <c r="S33" i="6"/>
  <c r="S9" i="6" s="1"/>
  <c r="T33" i="6"/>
  <c r="T9" i="6" s="1"/>
  <c r="V33" i="6"/>
  <c r="V9" i="6" s="1"/>
  <c r="W33" i="6"/>
  <c r="W9" i="6" s="1"/>
  <c r="X33" i="6"/>
  <c r="X9" i="6" s="1"/>
  <c r="Z33" i="6"/>
  <c r="Z9" i="6" s="1"/>
  <c r="AA33" i="6"/>
  <c r="AA9" i="6" s="1"/>
  <c r="AB33" i="6"/>
  <c r="AB9" i="6" s="1"/>
  <c r="AD33" i="6"/>
  <c r="AD9" i="6" s="1"/>
  <c r="AE33" i="6"/>
  <c r="AE9" i="6" s="1"/>
  <c r="AF33" i="6"/>
  <c r="AF9" i="6" s="1"/>
  <c r="AH33" i="6"/>
  <c r="AH9" i="6" s="1"/>
  <c r="AI33" i="6"/>
  <c r="AI9" i="6" s="1"/>
  <c r="AJ33" i="6"/>
  <c r="AJ9" i="6" s="1"/>
  <c r="AL33" i="6"/>
  <c r="AL9" i="6" s="1"/>
  <c r="AM33" i="6"/>
  <c r="AM9" i="6" s="1"/>
  <c r="AN33" i="6"/>
  <c r="AN9" i="6" s="1"/>
  <c r="AP33" i="6"/>
  <c r="AP9" i="6" s="1"/>
  <c r="AQ33" i="6"/>
  <c r="AQ9" i="6" s="1"/>
  <c r="AR33" i="6"/>
  <c r="AR9" i="6" s="1"/>
  <c r="AT33" i="6"/>
  <c r="AT9" i="6" s="1"/>
  <c r="AU33" i="6"/>
  <c r="AU9" i="6" s="1"/>
  <c r="AV33" i="6"/>
  <c r="AV9" i="6" s="1"/>
  <c r="AX33" i="6"/>
  <c r="AX9" i="6" s="1"/>
  <c r="AY33" i="6"/>
  <c r="AY9" i="6" s="1"/>
  <c r="AZ33" i="6"/>
  <c r="AZ9" i="6" s="1"/>
  <c r="AW34" i="6"/>
  <c r="AW33" i="6" s="1"/>
  <c r="AS34" i="6"/>
  <c r="AS33" i="6" s="1"/>
  <c r="AO34" i="6"/>
  <c r="AO33" i="6" s="1"/>
  <c r="AK34" i="6"/>
  <c r="AK33" i="6" s="1"/>
  <c r="AG34" i="6"/>
  <c r="AG33" i="6" s="1"/>
  <c r="AC34" i="6"/>
  <c r="AC33" i="6" s="1"/>
  <c r="Y34" i="6"/>
  <c r="Y33" i="6" s="1"/>
  <c r="U34" i="6"/>
  <c r="Q34" i="6"/>
  <c r="Q33" i="6" s="1"/>
  <c r="M34" i="6"/>
  <c r="M33" i="6" s="1"/>
  <c r="M30" i="6"/>
  <c r="Q30" i="6"/>
  <c r="U30" i="6"/>
  <c r="Y30" i="6"/>
  <c r="AC30" i="6"/>
  <c r="AG30" i="6"/>
  <c r="AK30" i="6"/>
  <c r="AO30" i="6"/>
  <c r="AS30" i="6"/>
  <c r="AW30" i="6"/>
  <c r="U33" i="6" l="1"/>
  <c r="J34" i="6"/>
  <c r="J33" i="6" s="1"/>
  <c r="J30" i="6"/>
  <c r="H34" i="6"/>
  <c r="H33" i="6" s="1"/>
  <c r="H30" i="6"/>
  <c r="F30" i="6" l="1"/>
  <c r="J10" i="6"/>
  <c r="F34" i="6"/>
  <c r="F33" i="6" s="1"/>
  <c r="G30" i="6"/>
  <c r="E30" i="6" s="1"/>
  <c r="I30" i="6"/>
  <c r="I10" i="6" l="1"/>
  <c r="G34" i="6" l="1"/>
  <c r="G33" i="6" s="1"/>
  <c r="I34" i="6"/>
  <c r="I33" i="6" l="1"/>
  <c r="E34" i="6"/>
  <c r="E33" i="6" s="1"/>
  <c r="J9" i="6"/>
  <c r="K9" i="6"/>
  <c r="L9" i="6"/>
  <c r="H10" i="6" l="1"/>
  <c r="F10" i="6"/>
  <c r="T69" i="10"/>
  <c r="S69" i="10"/>
  <c r="Q69" i="10"/>
  <c r="P69" i="10"/>
  <c r="O69" i="10"/>
  <c r="N69" i="10"/>
  <c r="M69" i="10"/>
  <c r="L69" i="10"/>
  <c r="K69" i="10"/>
  <c r="J69" i="10"/>
  <c r="I69" i="10"/>
  <c r="H69" i="10"/>
  <c r="G69" i="10"/>
  <c r="F69" i="10"/>
  <c r="E69" i="10"/>
  <c r="D69" i="10"/>
  <c r="C69" i="10"/>
  <c r="U68" i="10"/>
  <c r="R67" i="10"/>
  <c r="R69" i="10" s="1"/>
  <c r="U66" i="10"/>
  <c r="U65" i="10"/>
  <c r="U64" i="10"/>
  <c r="U63" i="10"/>
  <c r="U62" i="10"/>
  <c r="U61" i="10"/>
  <c r="U60" i="10"/>
  <c r="U59" i="10"/>
  <c r="Q59" i="10"/>
  <c r="U58" i="10"/>
  <c r="U57" i="10"/>
  <c r="U56" i="10"/>
  <c r="U55" i="10"/>
  <c r="U54" i="10"/>
  <c r="U53" i="10"/>
  <c r="U52" i="10"/>
  <c r="U51" i="10"/>
  <c r="U50" i="10"/>
  <c r="U49" i="10"/>
  <c r="U48" i="10"/>
  <c r="U47" i="10"/>
  <c r="U46" i="10"/>
  <c r="U45" i="10"/>
  <c r="U44" i="10"/>
  <c r="U43" i="10"/>
  <c r="U42" i="10"/>
  <c r="U41" i="10"/>
  <c r="T38" i="10"/>
  <c r="S38" i="10"/>
  <c r="R38" i="10"/>
  <c r="R36" i="10" s="1"/>
  <c r="Q38" i="10"/>
  <c r="P38" i="10"/>
  <c r="O38" i="10"/>
  <c r="N38" i="10"/>
  <c r="M38" i="10"/>
  <c r="L38" i="10"/>
  <c r="K38" i="10"/>
  <c r="J38" i="10"/>
  <c r="I38" i="10"/>
  <c r="H38" i="10"/>
  <c r="G38" i="10"/>
  <c r="F38" i="10"/>
  <c r="E38" i="10"/>
  <c r="D38" i="10"/>
  <c r="C38" i="10"/>
  <c r="T37" i="10"/>
  <c r="S37" i="10"/>
  <c r="S36" i="10" s="1"/>
  <c r="R37" i="10"/>
  <c r="Q37" i="10"/>
  <c r="P37" i="10"/>
  <c r="O37" i="10"/>
  <c r="O36" i="10" s="1"/>
  <c r="N37" i="10"/>
  <c r="M37" i="10"/>
  <c r="L37" i="10"/>
  <c r="K37" i="10"/>
  <c r="J37" i="10"/>
  <c r="I37" i="10"/>
  <c r="H37" i="10"/>
  <c r="G37" i="10"/>
  <c r="G36" i="10" s="1"/>
  <c r="F37" i="10"/>
  <c r="F36" i="10" s="1"/>
  <c r="E37" i="10"/>
  <c r="D37" i="10"/>
  <c r="C37" i="10"/>
  <c r="C36" i="10" s="1"/>
  <c r="Q36" i="10"/>
  <c r="M36" i="10"/>
  <c r="K36" i="10"/>
  <c r="I36" i="10"/>
  <c r="E36" i="10"/>
  <c r="T35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C35" i="10"/>
  <c r="T34" i="10"/>
  <c r="S34" i="10"/>
  <c r="R34" i="10"/>
  <c r="Q34" i="10"/>
  <c r="P34" i="10"/>
  <c r="O34" i="10"/>
  <c r="M34" i="10"/>
  <c r="L34" i="10"/>
  <c r="K34" i="10"/>
  <c r="J34" i="10"/>
  <c r="I34" i="10"/>
  <c r="H34" i="10"/>
  <c r="G34" i="10"/>
  <c r="F34" i="10"/>
  <c r="E34" i="10"/>
  <c r="D34" i="10"/>
  <c r="C34" i="10"/>
  <c r="T33" i="10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T32" i="10"/>
  <c r="S32" i="10"/>
  <c r="R32" i="10"/>
  <c r="Q32" i="10"/>
  <c r="P32" i="10"/>
  <c r="O32" i="10"/>
  <c r="N32" i="10"/>
  <c r="M32" i="10"/>
  <c r="L32" i="10"/>
  <c r="K32" i="10"/>
  <c r="J32" i="10"/>
  <c r="I32" i="10"/>
  <c r="H32" i="10"/>
  <c r="G32" i="10"/>
  <c r="F32" i="10"/>
  <c r="E32" i="10"/>
  <c r="D32" i="10"/>
  <c r="C32" i="10"/>
  <c r="T31" i="10"/>
  <c r="S31" i="10"/>
  <c r="R31" i="10"/>
  <c r="P31" i="10"/>
  <c r="O31" i="10"/>
  <c r="N31" i="10"/>
  <c r="M31" i="10"/>
  <c r="L31" i="10"/>
  <c r="K31" i="10"/>
  <c r="J31" i="10"/>
  <c r="I31" i="10"/>
  <c r="H31" i="10"/>
  <c r="G31" i="10"/>
  <c r="F31" i="10"/>
  <c r="E31" i="10"/>
  <c r="D31" i="10"/>
  <c r="C31" i="10"/>
  <c r="M30" i="10"/>
  <c r="U30" i="10" s="1"/>
  <c r="K29" i="10"/>
  <c r="F29" i="10"/>
  <c r="Q28" i="10"/>
  <c r="U28" i="10" s="1"/>
  <c r="Q27" i="10"/>
  <c r="U27" i="10" s="1"/>
  <c r="S26" i="10"/>
  <c r="U26" i="10" s="1"/>
  <c r="S25" i="10"/>
  <c r="Q25" i="10"/>
  <c r="T24" i="10"/>
  <c r="S24" i="10"/>
  <c r="R24" i="10"/>
  <c r="Q24" i="10"/>
  <c r="P24" i="10"/>
  <c r="O24" i="10"/>
  <c r="N24" i="10"/>
  <c r="J24" i="10"/>
  <c r="I24" i="10"/>
  <c r="H24" i="10"/>
  <c r="G24" i="10"/>
  <c r="F24" i="10"/>
  <c r="E24" i="10"/>
  <c r="D24" i="10"/>
  <c r="C24" i="10"/>
  <c r="T23" i="10"/>
  <c r="S23" i="10"/>
  <c r="R23" i="10"/>
  <c r="Q23" i="10"/>
  <c r="P23" i="10"/>
  <c r="O23" i="10"/>
  <c r="N23" i="10"/>
  <c r="M23" i="10"/>
  <c r="K23" i="10"/>
  <c r="J23" i="10"/>
  <c r="I23" i="10"/>
  <c r="H23" i="10"/>
  <c r="G23" i="10"/>
  <c r="F23" i="10"/>
  <c r="E23" i="10"/>
  <c r="D23" i="10"/>
  <c r="C23" i="10"/>
  <c r="T22" i="10"/>
  <c r="S22" i="10"/>
  <c r="R22" i="10"/>
  <c r="Q22" i="10"/>
  <c r="P22" i="10"/>
  <c r="O22" i="10"/>
  <c r="N22" i="10"/>
  <c r="M22" i="10"/>
  <c r="L22" i="10"/>
  <c r="L21" i="10" s="1"/>
  <c r="K22" i="10"/>
  <c r="J22" i="10"/>
  <c r="I22" i="10"/>
  <c r="H22" i="10"/>
  <c r="G22" i="10"/>
  <c r="F22" i="10"/>
  <c r="E22" i="10"/>
  <c r="D22" i="10"/>
  <c r="C22" i="10"/>
  <c r="P21" i="10"/>
  <c r="T20" i="10"/>
  <c r="S20" i="10"/>
  <c r="R20" i="10"/>
  <c r="Q20" i="10"/>
  <c r="P20" i="10"/>
  <c r="O20" i="10"/>
  <c r="N20" i="10"/>
  <c r="M20" i="10"/>
  <c r="L20" i="10"/>
  <c r="K20" i="10"/>
  <c r="J20" i="10"/>
  <c r="I20" i="10"/>
  <c r="H20" i="10"/>
  <c r="G20" i="10"/>
  <c r="F20" i="10"/>
  <c r="E20" i="10"/>
  <c r="D20" i="10"/>
  <c r="C20" i="10"/>
  <c r="T19" i="10"/>
  <c r="S19" i="10"/>
  <c r="R19" i="10"/>
  <c r="Q19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D19" i="10"/>
  <c r="C19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C16" i="10"/>
  <c r="T15" i="10"/>
  <c r="S15" i="10"/>
  <c r="R15" i="10"/>
  <c r="Q15" i="10"/>
  <c r="P15" i="10"/>
  <c r="O15" i="10"/>
  <c r="N15" i="10"/>
  <c r="M15" i="10"/>
  <c r="L15" i="10"/>
  <c r="K15" i="10"/>
  <c r="J15" i="10"/>
  <c r="I15" i="10"/>
  <c r="H15" i="10"/>
  <c r="G15" i="10"/>
  <c r="F15" i="10"/>
  <c r="E15" i="10"/>
  <c r="D15" i="10"/>
  <c r="C15" i="10"/>
  <c r="T14" i="10"/>
  <c r="S14" i="10"/>
  <c r="R14" i="10"/>
  <c r="Q14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D14" i="10"/>
  <c r="C14" i="10"/>
  <c r="T13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D13" i="10"/>
  <c r="C13" i="10"/>
  <c r="T12" i="10"/>
  <c r="S12" i="10"/>
  <c r="R12" i="10"/>
  <c r="Q12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D12" i="10"/>
  <c r="C12" i="10"/>
  <c r="T11" i="10"/>
  <c r="S11" i="10"/>
  <c r="R11" i="10"/>
  <c r="Q11" i="10"/>
  <c r="P11" i="10"/>
  <c r="O11" i="10"/>
  <c r="N11" i="10"/>
  <c r="M11" i="10"/>
  <c r="L11" i="10"/>
  <c r="K11" i="10"/>
  <c r="J11" i="10"/>
  <c r="I11" i="10"/>
  <c r="H11" i="10"/>
  <c r="G11" i="10"/>
  <c r="F11" i="10"/>
  <c r="E11" i="10"/>
  <c r="D11" i="10"/>
  <c r="C11" i="10"/>
  <c r="T10" i="10"/>
  <c r="T17" i="10" s="1"/>
  <c r="T9" i="10" s="1"/>
  <c r="S10" i="10"/>
  <c r="S17" i="10" s="1"/>
  <c r="S9" i="10" s="1"/>
  <c r="R10" i="10"/>
  <c r="R17" i="10" s="1"/>
  <c r="R9" i="10" s="1"/>
  <c r="Q10" i="10"/>
  <c r="Q17" i="10" s="1"/>
  <c r="Q9" i="10" s="1"/>
  <c r="P10" i="10"/>
  <c r="P17" i="10" s="1"/>
  <c r="P9" i="10" s="1"/>
  <c r="O10" i="10"/>
  <c r="O17" i="10" s="1"/>
  <c r="O9" i="10" s="1"/>
  <c r="N10" i="10"/>
  <c r="N17" i="10" s="1"/>
  <c r="N9" i="10" s="1"/>
  <c r="M10" i="10"/>
  <c r="M17" i="10" s="1"/>
  <c r="M9" i="10" s="1"/>
  <c r="L10" i="10"/>
  <c r="L17" i="10" s="1"/>
  <c r="L9" i="10" s="1"/>
  <c r="K10" i="10"/>
  <c r="K17" i="10" s="1"/>
  <c r="K9" i="10" s="1"/>
  <c r="J10" i="10"/>
  <c r="J17" i="10" s="1"/>
  <c r="J9" i="10" s="1"/>
  <c r="I10" i="10"/>
  <c r="I17" i="10" s="1"/>
  <c r="I9" i="10" s="1"/>
  <c r="H10" i="10"/>
  <c r="H17" i="10" s="1"/>
  <c r="H9" i="10" s="1"/>
  <c r="G10" i="10"/>
  <c r="G17" i="10" s="1"/>
  <c r="G9" i="10" s="1"/>
  <c r="F10" i="10"/>
  <c r="F17" i="10" s="1"/>
  <c r="F9" i="10" s="1"/>
  <c r="E10" i="10"/>
  <c r="E17" i="10" s="1"/>
  <c r="E9" i="10" s="1"/>
  <c r="D10" i="10"/>
  <c r="D17" i="10" s="1"/>
  <c r="D9" i="10" s="1"/>
  <c r="C10" i="10"/>
  <c r="T7" i="10"/>
  <c r="S7" i="10"/>
  <c r="R7" i="10"/>
  <c r="Q7" i="10"/>
  <c r="P7" i="10"/>
  <c r="O7" i="10"/>
  <c r="N7" i="10"/>
  <c r="M7" i="10"/>
  <c r="L7" i="10"/>
  <c r="K7" i="10"/>
  <c r="J7" i="10"/>
  <c r="I7" i="10"/>
  <c r="H7" i="10"/>
  <c r="G7" i="10"/>
  <c r="F7" i="10"/>
  <c r="E7" i="10"/>
  <c r="C7" i="10"/>
  <c r="O21" i="10" l="1"/>
  <c r="Y10" i="6"/>
  <c r="Y9" i="6" s="1"/>
  <c r="U10" i="6"/>
  <c r="U9" i="6" s="1"/>
  <c r="AK10" i="6"/>
  <c r="AK9" i="6" s="1"/>
  <c r="AW10" i="6"/>
  <c r="AW9" i="6" s="1"/>
  <c r="AS10" i="6"/>
  <c r="AS9" i="6" s="1"/>
  <c r="AO10" i="6"/>
  <c r="AO9" i="6" s="1"/>
  <c r="AG10" i="6"/>
  <c r="AG9" i="6" s="1"/>
  <c r="AC10" i="6"/>
  <c r="AC9" i="6" s="1"/>
  <c r="Q10" i="6"/>
  <c r="Q9" i="6" s="1"/>
  <c r="M10" i="6"/>
  <c r="M9" i="6" s="1"/>
  <c r="C21" i="10"/>
  <c r="C18" i="10" s="1"/>
  <c r="G21" i="10"/>
  <c r="S21" i="10"/>
  <c r="S18" i="10" s="1"/>
  <c r="S8" i="10" s="1"/>
  <c r="S70" i="10" s="1"/>
  <c r="N21" i="10"/>
  <c r="N18" i="10" s="1"/>
  <c r="R21" i="10"/>
  <c r="D21" i="10"/>
  <c r="D18" i="10" s="1"/>
  <c r="H21" i="10"/>
  <c r="H18" i="10" s="1"/>
  <c r="H8" i="10" s="1"/>
  <c r="H70" i="10" s="1"/>
  <c r="J36" i="10"/>
  <c r="N36" i="10"/>
  <c r="L18" i="10"/>
  <c r="M21" i="10"/>
  <c r="M18" i="10" s="1"/>
  <c r="M8" i="10" s="1"/>
  <c r="M70" i="10" s="1"/>
  <c r="Q21" i="10"/>
  <c r="Q18" i="10" s="1"/>
  <c r="Q8" i="10" s="1"/>
  <c r="Q70" i="10" s="1"/>
  <c r="U25" i="10"/>
  <c r="G18" i="10"/>
  <c r="U38" i="10"/>
  <c r="U19" i="10"/>
  <c r="P18" i="10"/>
  <c r="E21" i="10"/>
  <c r="I21" i="10"/>
  <c r="I18" i="10" s="1"/>
  <c r="I8" i="10" s="1"/>
  <c r="I70" i="10" s="1"/>
  <c r="U23" i="10"/>
  <c r="K21" i="10"/>
  <c r="K18" i="10" s="1"/>
  <c r="K8" i="10" s="1"/>
  <c r="K70" i="10" s="1"/>
  <c r="T21" i="10"/>
  <c r="T18" i="10" s="1"/>
  <c r="F21" i="10"/>
  <c r="J21" i="10"/>
  <c r="J18" i="10" s="1"/>
  <c r="D36" i="10"/>
  <c r="D8" i="10" s="1"/>
  <c r="D70" i="10" s="1"/>
  <c r="H36" i="10"/>
  <c r="L36" i="10"/>
  <c r="P36" i="10"/>
  <c r="T36" i="10"/>
  <c r="O18" i="10"/>
  <c r="O8" i="10" s="1"/>
  <c r="O70" i="10" s="1"/>
  <c r="U10" i="10"/>
  <c r="U12" i="10"/>
  <c r="U14" i="10"/>
  <c r="U16" i="10"/>
  <c r="U32" i="10"/>
  <c r="U34" i="10"/>
  <c r="H9" i="6"/>
  <c r="F9" i="6"/>
  <c r="U33" i="10"/>
  <c r="U11" i="10"/>
  <c r="U13" i="10"/>
  <c r="U15" i="10"/>
  <c r="U20" i="10"/>
  <c r="U7" i="10"/>
  <c r="F18" i="10"/>
  <c r="F8" i="10" s="1"/>
  <c r="F70" i="10" s="1"/>
  <c r="R18" i="10"/>
  <c r="R8" i="10" s="1"/>
  <c r="R70" i="10" s="1"/>
  <c r="U31" i="10"/>
  <c r="E18" i="10"/>
  <c r="E8" i="10" s="1"/>
  <c r="E70" i="10" s="1"/>
  <c r="P8" i="10"/>
  <c r="P70" i="10" s="1"/>
  <c r="U24" i="10"/>
  <c r="U29" i="10"/>
  <c r="U35" i="10"/>
  <c r="U37" i="10"/>
  <c r="G10" i="6"/>
  <c r="G8" i="10"/>
  <c r="G70" i="10" s="1"/>
  <c r="U69" i="10"/>
  <c r="U36" i="10"/>
  <c r="C17" i="10"/>
  <c r="U67" i="10"/>
  <c r="U22" i="10"/>
  <c r="T8" i="10" l="1"/>
  <c r="T70" i="10" s="1"/>
  <c r="N8" i="10"/>
  <c r="N70" i="10" s="1"/>
  <c r="L8" i="10"/>
  <c r="L70" i="10" s="1"/>
  <c r="J8" i="10"/>
  <c r="J70" i="10" s="1"/>
  <c r="U18" i="10"/>
  <c r="U21" i="10"/>
  <c r="E10" i="6"/>
  <c r="G9" i="6"/>
  <c r="I9" i="6"/>
  <c r="U17" i="10"/>
  <c r="C9" i="10"/>
  <c r="E9" i="6" l="1"/>
  <c r="U9" i="10"/>
  <c r="C8" i="10"/>
  <c r="U8" i="10" l="1"/>
  <c r="U70" i="10" s="1"/>
  <c r="C70" i="10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</calcChain>
</file>

<file path=xl/comments1.xml><?xml version="1.0" encoding="utf-8"?>
<comments xmlns="http://schemas.openxmlformats.org/spreadsheetml/2006/main">
  <authors>
    <author>Автор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Заложить гидравлическую и обслуживание сетей</t>
        </r>
      </text>
    </comment>
    <comment ref="C3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разобраться с ОЗП не заложено + гидравлич промывку</t>
        </r>
      </text>
    </comment>
    <comment ref="D3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выяснить 195 ФЭО</t>
        </r>
      </text>
    </comment>
    <comment ref="M34" authorId="0" shapeId="0">
      <text>
        <r>
          <rPr>
            <b/>
            <sz val="9"/>
            <color indexed="81"/>
            <rFont val="Tahoma"/>
            <family val="2"/>
            <charset val="204"/>
          </rPr>
          <t>Направят в пятницу</t>
        </r>
      </text>
    </comment>
    <comment ref="D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Приобретение ростовых кукол</t>
        </r>
      </text>
    </comment>
    <comment ref="D4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Платье ведущей 50-54 размер 31968 х 3 шт. = 95 904,0 руб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<sst xmlns="http://schemas.openxmlformats.org/spreadsheetml/2006/main" count="479" uniqueCount="348">
  <si>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</si>
  <si>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</si>
  <si>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</si>
  <si>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</si>
  <si>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</si>
  <si>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</si>
  <si>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</si>
  <si>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</si>
  <si>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</si>
  <si>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</si>
  <si>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</si>
  <si>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</si>
  <si>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</si>
  <si>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</si>
  <si>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</si>
  <si>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</si>
  <si>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</si>
  <si>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</si>
  <si>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</si>
  <si>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</si>
  <si>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</si>
  <si>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</si>
  <si>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</si>
  <si>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</si>
  <si>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</si>
  <si>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</si>
  <si>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</si>
  <si>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</si>
  <si>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</si>
  <si>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</si>
  <si>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</si>
  <si>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</si>
  <si>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</si>
  <si>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</si>
  <si>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</si>
  <si>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</si>
  <si>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</si>
  <si>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</si>
  <si>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</si>
  <si>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</si>
  <si>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</si>
  <si>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</si>
  <si>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</si>
  <si>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</si>
  <si>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</si>
  <si>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</si>
  <si>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</si>
  <si>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</si>
  <si>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</si>
  <si>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</si>
  <si>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</si>
  <si>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</si>
  <si>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</si>
  <si>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</si>
  <si>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</si>
  <si>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</si>
  <si>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</si>
  <si>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</si>
  <si>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</si>
  <si>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</si>
  <si>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</si>
  <si>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</si>
  <si>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</si>
  <si>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</si>
  <si>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</si>
  <si>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</si>
  <si>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</si>
  <si>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</si>
  <si>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</si>
  <si>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</si>
  <si>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</si>
  <si>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</si>
  <si>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</si>
  <si>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</si>
  <si>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</si>
  <si>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</si>
  <si>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</si>
  <si>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</si>
  <si>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</si>
  <si>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</si>
  <si>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</si>
  <si>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</si>
  <si>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</si>
  <si>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</si>
  <si>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</si>
  <si>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</si>
  <si>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</si>
  <si>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</si>
  <si>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</si>
  <si>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</si>
  <si>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</si>
  <si>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</si>
  <si>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</si>
  <si>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</si>
  <si>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</si>
  <si>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</si>
  <si>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</si>
  <si>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</si>
  <si>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</si>
  <si>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</si>
  <si>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</si>
  <si>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</si>
  <si>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</si>
  <si>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</si>
  <si>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</si>
  <si>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</si>
  <si>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</si>
  <si>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</si>
  <si>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</si>
  <si>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</si>
  <si>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</si>
  <si>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</si>
  <si>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</si>
  <si>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</si>
  <si>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</si>
  <si>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</si>
  <si>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</si>
  <si>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</si>
  <si>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</si>
  <si>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</si>
  <si>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</si>
  <si>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</si>
  <si>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</si>
  <si>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</si>
  <si>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</si>
  <si>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</si>
  <si>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</si>
  <si>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</si>
  <si>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</si>
  <si>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</si>
  <si>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</si>
  <si>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</si>
  <si>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</si>
  <si>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</si>
  <si>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</si>
  <si>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</si>
  <si>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</si>
  <si>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</si>
  <si>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</si>
  <si>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</si>
  <si>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</si>
  <si>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</si>
  <si>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</si>
  <si>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</si>
  <si>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</si>
  <si>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</si>
  <si>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</si>
  <si>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</si>
  <si>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</si>
  <si>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</si>
  <si>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</si>
  <si>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</si>
  <si>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</si>
  <si>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</si>
  <si>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</si>
  <si>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</si>
  <si>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</si>
  <si>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</si>
  <si>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</si>
  <si>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</si>
  <si>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</si>
  <si>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</si>
  <si>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</si>
  <si>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</si>
  <si>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</si>
  <si>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</si>
  <si>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</si>
  <si>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</si>
  <si>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</si>
  <si>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</si>
  <si>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2025 год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</si>
  <si>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</si>
  <si>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</si>
  <si>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</si>
  <si>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</si>
  <si>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</si>
  <si>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</si>
  <si>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</si>
  <si>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</si>
  <si>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единица</t>
  </si>
  <si>
    <t>Планируемое значение индикатора (показателя) по годам реализации муниципальной программы</t>
  </si>
  <si>
    <t>2031 год</t>
  </si>
  <si>
    <t>2032 год</t>
  </si>
  <si>
    <t>2033 год</t>
  </si>
  <si>
    <t>2034 год</t>
  </si>
  <si>
    <t>2035 год</t>
  </si>
  <si>
    <t>Перечень целевых показателей муниципальной программы «Развитие культуры на территории муниципального района «Заполярный район» на 2025-2035 годы»</t>
  </si>
  <si>
    <t>Приложение 1 к  муниципальной программе «Развитие культуры на территории муниципального района «Заполярный район» на 2025-2035 годы»</t>
  </si>
  <si>
    <t>Перечень мероприятий муниципальной программы  «Развитие культуры на территории муниципального района «Заполярный район» на 2025-2035 годы»</t>
  </si>
  <si>
    <t>Всего на 2025-2035 годы</t>
  </si>
  <si>
    <t>Наименование направления расходования средств бюджета, расшифровка затрат</t>
  </si>
  <si>
    <t>Код классификации операций сектора государственного управления</t>
  </si>
  <si>
    <t>Дом культуры поселка Усть -Кара</t>
  </si>
  <si>
    <t>Пешский центральный Дом культуры</t>
  </si>
  <si>
    <t>Омский центральный Дом культуры</t>
  </si>
  <si>
    <t>Пустозерский центрадьный Дом культуры</t>
  </si>
  <si>
    <t>Несский Дом народного творчества</t>
  </si>
  <si>
    <t>Тиманский центральный Дом культуры</t>
  </si>
  <si>
    <t>Великовисочный центральный Дом культуры</t>
  </si>
  <si>
    <t>Дом культуры деревни Андег</t>
  </si>
  <si>
    <t>Дом культуры поселка Амдерма</t>
  </si>
  <si>
    <t>Дом культуры поселка Бугрино</t>
  </si>
  <si>
    <t>Дом культуры поселка Каратайка</t>
  </si>
  <si>
    <t>Дом культуры поселка Красное</t>
  </si>
  <si>
    <t>Дом культуры Шойна</t>
  </si>
  <si>
    <t>Информационно-досуговый центр Хорей-Вер</t>
  </si>
  <si>
    <t>Клуб Созвездие поселка Искателей</t>
  </si>
  <si>
    <t>Тельвисочный социально-культурный центр Престиж</t>
  </si>
  <si>
    <t>Харутинский сельский центр культуры и досуга</t>
  </si>
  <si>
    <t>ИТОГО:</t>
  </si>
  <si>
    <t>Филиалы, отделы</t>
  </si>
  <si>
    <t>ф. в д. Верхняя Пеша</t>
  </si>
  <si>
    <t>отд. в д. Вижас</t>
  </si>
  <si>
    <t>ф. в д. Хонгурей</t>
  </si>
  <si>
    <t>ф. в п. Выучейский</t>
  </si>
  <si>
    <t>ф. в д. Лабожское</t>
  </si>
  <si>
    <t>отд. в п. Варнек</t>
  </si>
  <si>
    <t>отд. в д. Куя</t>
  </si>
  <si>
    <t>ф. в д. Кия</t>
  </si>
  <si>
    <t>ф. в д. Макарово</t>
  </si>
  <si>
    <t>ф. в д. Волоковая</t>
  </si>
  <si>
    <t>отд. в д. Снопа</t>
  </si>
  <si>
    <t>отд. в д. Каменка</t>
  </si>
  <si>
    <t>отд. в д. Щелино</t>
  </si>
  <si>
    <t>отд. в д. Тошвиска</t>
  </si>
  <si>
    <t>отд. в д. Пылемец</t>
  </si>
  <si>
    <t>Доходы</t>
  </si>
  <si>
    <t>Расходы</t>
  </si>
  <si>
    <t>Оплата труда и начисления на выплаты по оплате труда</t>
  </si>
  <si>
    <t xml:space="preserve">Заработная плата персонала (по Указу)                                                                                                    </t>
  </si>
  <si>
    <t xml:space="preserve">Заработная плата персонала (по плану дерекции)                                                                                                    </t>
  </si>
  <si>
    <t xml:space="preserve">Заработная плата персонала (факт 2023)                                                                                                    </t>
  </si>
  <si>
    <t xml:space="preserve">Заработная плата персонала (план по факту 2024 7 мес)                                                                                                    </t>
  </si>
  <si>
    <t>Количество сотрудников</t>
  </si>
  <si>
    <t>Прочие выплаты (суточные)</t>
  </si>
  <si>
    <t>Льготный проезд</t>
  </si>
  <si>
    <t xml:space="preserve">Начисления на выплаты по оплате труда                                                                                 </t>
  </si>
  <si>
    <t>Оплата работ, услуг</t>
  </si>
  <si>
    <t xml:space="preserve">Услуги связи </t>
  </si>
  <si>
    <t>Транспортные услуги</t>
  </si>
  <si>
    <t>Коммунальные услуги:</t>
  </si>
  <si>
    <t>Электрическая энергия</t>
  </si>
  <si>
    <t>Тепловая энергия</t>
  </si>
  <si>
    <t>ТКО</t>
  </si>
  <si>
    <t>Компонент на ТЭ</t>
  </si>
  <si>
    <t>Компонент на ХВ</t>
  </si>
  <si>
    <t>Компонент на теплоноситель</t>
  </si>
  <si>
    <t>Вывоз ЖБО</t>
  </si>
  <si>
    <t>Водоснабжение</t>
  </si>
  <si>
    <t>Твердое топливо</t>
  </si>
  <si>
    <t>Выплата специалистам на селе (найм жилья)</t>
  </si>
  <si>
    <t>224</t>
  </si>
  <si>
    <t>Работы, услуги по содержанию имущества, техническое обслуживание (капитальный, текущий ремонты)</t>
  </si>
  <si>
    <t>Прочие работы, услуги (командировочные проезд и проживание)</t>
  </si>
  <si>
    <t>Охрана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</si>
  <si>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</si>
  <si>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</si>
  <si>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</si>
  <si>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</t>
  </si>
  <si>
    <t xml:space="preserve">Наименование мероприятия </t>
  </si>
  <si>
    <t xml:space="preserve"> </t>
  </si>
  <si>
    <t>Межмуниципальный фестиваль народного творчества «Сияй в веках Великая Победа», посвященный 80-летию Победы в Великой Отечественной войне</t>
  </si>
  <si>
    <t>Празднование новогодних и рождественских праздников</t>
  </si>
  <si>
    <t>Межмуниципальная игра для лиц старшего возраста «Высшая лига: живи и твори!», посвященная Дню пожилого человека</t>
  </si>
  <si>
    <t>Цикл новогодних мероприятий для детей и взрослых «Семейный праздник – Новый год»</t>
  </si>
  <si>
    <t>Обслуживание отдела д.Волоковая, проведение мероприятий на выезде</t>
  </si>
  <si>
    <t>Цикл мероприятий, посвящённых празднованию 80-летия Победы в Великой Отечественной войне 1941-1945гг.</t>
  </si>
  <si>
    <t>Межмуниципальный фольклорный праздник «Височная ярмарка» (март 2025 года)</t>
  </si>
  <si>
    <t xml:space="preserve">Приобретение тематического оформления к празднованию 80-ой годовщины Победы над фашизмом в годы Великой Отечественной войны 1941 – 1945 гг.  </t>
  </si>
  <si>
    <t>Межмуниципальный конкурс поделок и рисунков «Поклон тебе, Великая Победа», посвящённая 80-летию Победы в Великой Отечественной войне</t>
  </si>
  <si>
    <t>Усовершенствование материально-технической базы Великовисочного ЦДК</t>
  </si>
  <si>
    <t xml:space="preserve">Проект «Культурные каникулы» в Великовисочном ЦДК    </t>
  </si>
  <si>
    <t>Фольклорно-игровая программа «Масленица к нам пришла и весну привела»</t>
  </si>
  <si>
    <t xml:space="preserve">Межмуниципальная акция «Северная сторонка» </t>
  </si>
  <si>
    <t xml:space="preserve">Аудиоспектакль на основе произведений Т. И. Сядейского «Живу и помню. Воспоминания 
и размышления» и «Советское не устаревает», посвящённый 80-летию Победы в Великой Отечественной войне 1941-1945 годов
и 95-летию Т. И. Сядейского
</t>
  </si>
  <si>
    <t>Приобретение звукового оборудования для государственного бюджетного учреждения культуры Ненецкого автономного округа «Клуб «Созвездие» посёлка Искателей»</t>
  </si>
  <si>
    <t>Приобретение звукового оборудования для концертного зала ГБУК НАО «ДК поселка Каратайка» отдел «ДК поселка Варнек»</t>
  </si>
  <si>
    <t>Приобретение светового оборудования для государственного бюджетного учреждения культуры Ненецкого автономного округа «Клуб «Созвездие» п. Искателей»</t>
  </si>
  <si>
    <t>Спектакль «Четвёртая высота», посвящённый 80-летию Победы в Великой Отечественной войне 1941-1945 годов</t>
  </si>
  <si>
    <t>Концерт, посвящённый 10-летию детского вокального ансамбля «Росинки».</t>
  </si>
  <si>
    <t xml:space="preserve">Открытый региональный фестиваль патриотической песни «О родине, о доблести, о славе» в рамках празднования 80-летия со дня Победы в Великой Отечественной войне 1941-1945 годов </t>
  </si>
  <si>
    <t>Региональный конкурс художественного слова «Зеркало души», посвященный 80-летию со дня Победы в Великой Отечественной войне 1941-1945 годов. Тема конкурса: «Великим огненным годам святую память сохраняя…»</t>
  </si>
  <si>
    <t>Межмуниципальный фестиваль театральных встреч «Веснушки»</t>
  </si>
  <si>
    <t>Приобретение сценических костюмов для хореографических коллективов</t>
  </si>
  <si>
    <t xml:space="preserve">Межмуниципальный фестиваль патриотической песни «Ради жизни на земле», посвященный Дню защитника Отечества </t>
  </si>
  <si>
    <t>Укрепление материально-технической базы, приобретение светодиодного экрана LED для концертного зала ГБУК НАО «Пустозерский ЦДК»</t>
  </si>
  <si>
    <t>Проведение праздничных мероприятий, посвященных 95-летию Ненецкого автономного округа</t>
  </si>
  <si>
    <t>II межмуниципальный фестиваль старины «Сульский венок дружбы», посвящённый сохранению 
и популяризации фольклорных традиций народов, проживающих на территории Ненецкого автономного округа</t>
  </si>
  <si>
    <t>приобретение светового оборудования для сцены и зала ГБУК НАО «Тиманский ЦДК»</t>
  </si>
  <si>
    <t>ВСЕГО:</t>
  </si>
  <si>
    <t>Культурный центр имени А.С.Савинковой (с. Коткино)</t>
  </si>
  <si>
    <t>1.2</t>
  </si>
  <si>
    <t>1.3</t>
  </si>
  <si>
    <t>1.4</t>
  </si>
  <si>
    <t>1.5</t>
  </si>
  <si>
    <t>1.7</t>
  </si>
  <si>
    <t>1.8</t>
  </si>
  <si>
    <t>Раздел 1. Организация культурно-досуговой деятельности населения</t>
  </si>
  <si>
    <t>Сельское поселение "Коткинский сельсовет" ЗР НАО</t>
  </si>
  <si>
    <t>Сельское поселение "Канинский сельсовет" ЗР НАО</t>
  </si>
  <si>
    <t>Сельское поселение "Омский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</si>
  <si>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</si>
  <si>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</si>
  <si>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</si>
  <si>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"Пешский сельсовет" ЗР НАО</t>
  </si>
  <si>
    <t>1.9</t>
  </si>
  <si>
    <t>2.</t>
  </si>
  <si>
    <t xml:space="preserve">Комплектование библиотечных фондов </t>
  </si>
  <si>
    <t>2.1</t>
  </si>
  <si>
    <t>Сельское поселение "Карский сельсовет" ЗР НАО</t>
  </si>
  <si>
    <t>Сельское поселение "Приморско-Куйский  сельсовет" ЗР НАО</t>
  </si>
  <si>
    <t>Сельское поселение "Хорей-Верский  сельсовет" ЗР НАО</t>
  </si>
  <si>
    <t>Сельское поселение "Шоинский  сельсовет" ЗР НАО</t>
  </si>
  <si>
    <t>Сельское поселение "Юшарский сельсовет" ЗР НАО</t>
  </si>
  <si>
    <t>Сельское поселение "Колгуевский сельсовет" ЗР НАО</t>
  </si>
  <si>
    <t>-</t>
  </si>
  <si>
    <t>1.10</t>
  </si>
  <si>
    <t>1.11</t>
  </si>
  <si>
    <t>1.12</t>
  </si>
  <si>
    <t>1.13</t>
  </si>
  <si>
    <t>1.14</t>
  </si>
  <si>
    <t>1.15</t>
  </si>
  <si>
    <t>1.16</t>
  </si>
  <si>
    <t>1.17</t>
  </si>
  <si>
    <t>Приложение 2 к  муниципальной программе "Развитие культуры на территории муниципального района «Заполярный район» на 2025-2035 годы"</t>
  </si>
  <si>
    <t>создание условий для удовлетворения культурных потребностей населения и его занятий художественным творчеством</t>
  </si>
  <si>
    <t>количество проведенных культурно-массовых мероприятий</t>
  </si>
  <si>
    <t>Раздел 2. Комплектование книжных фондов библиотек на территории поселений Заполярного района</t>
  </si>
  <si>
    <t>Администрация поселения ЗР НАО</t>
  </si>
  <si>
    <t>удельный вес объектов библиотечной системы, которым оказана поддержка на пополнение библиотечного фонда, от общего количества библиотек, расположенных на территории Заполярного района</t>
  </si>
  <si>
    <t>количество учреждений культуры, которым оказана поддержка для обновления материально-технической базы</t>
  </si>
  <si>
    <t xml:space="preserve">Приобретение звукового оборудования, костюмов для проведения мероприятий  ГБУК НАО "Культурный центр имени А.С. Савинковой"  </t>
  </si>
  <si>
    <t>комплектование фондов общедоступных библиотек</t>
  </si>
  <si>
    <t>Проведение мастер-класса по народному творчеству</t>
  </si>
  <si>
    <t>количество проведенных мастер-классов по народному творчеству</t>
  </si>
  <si>
    <t>1.6</t>
  </si>
  <si>
    <t>Сельское поселение "Андегский сельсовет" ЗР НАО</t>
  </si>
  <si>
    <t>Сельское поселение "Малоземельский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</si>
  <si>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</si>
  <si>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</si>
  <si>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1.18</t>
  </si>
  <si>
    <t>1.19</t>
  </si>
  <si>
    <t>1.20</t>
  </si>
  <si>
    <t>1.21</t>
  </si>
  <si>
    <t>МО "Городское поселение "Рабочий поселок Искателей" ЗР НАО</t>
  </si>
  <si>
    <t>Сельское поселение "Поселок Амдерма ЗР НАО</t>
  </si>
  <si>
    <t>1.22</t>
  </si>
  <si>
    <t>Организация и проведение концертов в населённых пунктах Заполярного района, посвященных 80-летию Победы в Великой Отечественной войне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</si>
</sst>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0\ _₽_-;\-* #,##0.00\ _₽_-;_-* &quot;-&quot;??\ _₽_-;_-@_-"/>
    <numFmt numFmtId="170" formatCode="_-* #,##0.0\ _₽_-;\-* #,##0.0\ _₽_-;_-* &quot;-&quot;?\ _₽_-;_-@_-"/>
    <numFmt numFmtId="171" formatCode="_-* #,##0.0_-;\-* #,##0.0_-;_-* &quot;-&quot;??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6" fillId="0" borderId="0"/>
    <xf numFmtId="0" fontId="7" fillId="0" borderId="0"/>
    <xf numFmtId="0" fontId="4" fillId="0" borderId="0"/>
    <xf numFmtId="0" fontId="3" fillId="0" borderId="0"/>
    <xf numFmtId="0" fontId="2" fillId="0" borderId="0"/>
    <xf numFmtId="164" fontId="6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</cellStyleXfs>
  <cellXfs count="238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left" vertical="center" wrapText="1"/>
    </xf>
    <xf numFmtId="0" fontId="13" fillId="0" borderId="0" xfId="0" applyFont="1" applyFill="1" applyAlignment="1">
      <alignment vertical="center" wrapText="1"/>
    </xf>
    <xf numFmtId="0" fontId="0" fillId="0" borderId="0" xfId="0" applyFill="1"/>
    <xf numFmtId="0" fontId="11" fillId="0" borderId="0" xfId="2" applyFont="1" applyFill="1" applyAlignment="1">
      <alignment vertical="center"/>
    </xf>
    <xf numFmtId="0" fontId="16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5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17" fillId="0" borderId="1" xfId="6" applyFont="1" applyFill="1" applyBorder="1" applyAlignment="1">
      <alignment vertical="center"/>
    </xf>
    <xf numFmtId="0" fontId="17" fillId="0" borderId="1" xfId="6" applyFont="1" applyFill="1" applyBorder="1" applyAlignment="1">
      <alignment vertical="center" wrapText="1"/>
    </xf>
    <xf numFmtId="0" fontId="13" fillId="0" borderId="1" xfId="6" applyFont="1" applyFill="1" applyBorder="1" applyAlignment="1">
      <alignment vertical="center"/>
    </xf>
    <xf numFmtId="0" fontId="13" fillId="0" borderId="0" xfId="6" applyFont="1" applyFill="1" applyBorder="1" applyAlignment="1">
      <alignment vertical="center"/>
    </xf>
    <xf numFmtId="0" fontId="17" fillId="5" borderId="1" xfId="6" applyFont="1" applyFill="1" applyBorder="1" applyAlignment="1">
      <alignment horizontal="center" vertical="center" wrapText="1"/>
    </xf>
    <xf numFmtId="0" fontId="17" fillId="5" borderId="1" xfId="6" applyFont="1" applyFill="1" applyBorder="1" applyAlignment="1">
      <alignment vertical="center" wrapText="1"/>
    </xf>
    <xf numFmtId="0" fontId="17" fillId="0" borderId="0" xfId="6" applyFont="1" applyFill="1" applyBorder="1" applyAlignment="1">
      <alignment vertical="center" wrapText="1"/>
    </xf>
    <xf numFmtId="0" fontId="15" fillId="5" borderId="1" xfId="2" applyFont="1" applyFill="1" applyBorder="1" applyAlignment="1">
      <alignment vertical="center" wrapText="1"/>
    </xf>
    <xf numFmtId="165" fontId="17" fillId="0" borderId="1" xfId="6" applyNumberFormat="1" applyFont="1" applyFill="1" applyBorder="1" applyAlignment="1">
      <alignment vertical="center" wrapText="1"/>
    </xf>
    <xf numFmtId="165" fontId="8" fillId="4" borderId="1" xfId="6" applyNumberFormat="1" applyFont="1" applyFill="1" applyBorder="1" applyAlignment="1">
      <alignment horizontal="right" vertical="center" wrapText="1"/>
    </xf>
    <xf numFmtId="0" fontId="13" fillId="0" borderId="1" xfId="6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vertical="center" wrapText="1"/>
    </xf>
    <xf numFmtId="0" fontId="13" fillId="0" borderId="1" xfId="6" applyFont="1" applyFill="1" applyBorder="1" applyAlignment="1">
      <alignment vertical="center" wrapText="1"/>
    </xf>
    <xf numFmtId="168" fontId="13" fillId="0" borderId="1" xfId="6" applyNumberFormat="1" applyFont="1" applyFill="1" applyBorder="1" applyAlignment="1">
      <alignment vertical="center"/>
    </xf>
    <xf numFmtId="165" fontId="13" fillId="0" borderId="1" xfId="6" applyNumberFormat="1" applyFont="1" applyFill="1" applyBorder="1" applyAlignment="1">
      <alignment horizontal="right" vertical="center" wrapText="1"/>
    </xf>
    <xf numFmtId="165" fontId="9" fillId="0" borderId="1" xfId="6" applyNumberFormat="1" applyFont="1" applyFill="1" applyBorder="1" applyAlignment="1">
      <alignment horizontal="right" vertical="center" wrapText="1"/>
    </xf>
    <xf numFmtId="165" fontId="9" fillId="2" borderId="1" xfId="6" applyNumberFormat="1" applyFont="1" applyFill="1" applyBorder="1" applyAlignment="1">
      <alignment horizontal="right" vertical="center" wrapText="1"/>
    </xf>
    <xf numFmtId="0" fontId="13" fillId="0" borderId="6" xfId="6" applyFont="1" applyFill="1" applyBorder="1" applyAlignment="1">
      <alignment horizontal="center" vertical="center"/>
    </xf>
    <xf numFmtId="0" fontId="13" fillId="0" borderId="13" xfId="6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168" fontId="13" fillId="0" borderId="6" xfId="6" applyNumberFormat="1" applyFont="1" applyFill="1" applyBorder="1" applyAlignment="1">
      <alignment horizontal="center" vertical="center"/>
    </xf>
    <xf numFmtId="168" fontId="13" fillId="0" borderId="13" xfId="6" applyNumberFormat="1" applyFont="1" applyFill="1" applyBorder="1" applyAlignment="1">
      <alignment horizontal="center" vertical="center"/>
    </xf>
    <xf numFmtId="0" fontId="11" fillId="0" borderId="6" xfId="2" applyFont="1" applyFill="1" applyBorder="1" applyAlignment="1">
      <alignment vertical="center" wrapText="1"/>
    </xf>
    <xf numFmtId="168" fontId="13" fillId="0" borderId="2" xfId="6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17" fillId="0" borderId="0" xfId="6" applyFont="1" applyFill="1" applyBorder="1" applyAlignment="1">
      <alignment vertical="center"/>
    </xf>
    <xf numFmtId="0" fontId="12" fillId="0" borderId="1" xfId="2" applyFont="1" applyFill="1" applyBorder="1" applyAlignment="1">
      <alignment vertical="center" wrapText="1"/>
    </xf>
    <xf numFmtId="0" fontId="17" fillId="3" borderId="1" xfId="6" applyFont="1" applyFill="1" applyBorder="1" applyAlignment="1">
      <alignment horizontal="center" vertical="center" wrapText="1"/>
    </xf>
    <xf numFmtId="0" fontId="17" fillId="3" borderId="1" xfId="6" applyFont="1" applyFill="1" applyBorder="1" applyAlignment="1">
      <alignment horizontal="left" vertical="center" wrapText="1"/>
    </xf>
    <xf numFmtId="0" fontId="6" fillId="0" borderId="0" xfId="2"/>
    <xf numFmtId="0" fontId="13" fillId="0" borderId="15" xfId="2" applyFont="1" applyBorder="1" applyAlignment="1">
      <alignment horizontal="justify" vertical="center" wrapText="1"/>
    </xf>
    <xf numFmtId="0" fontId="13" fillId="0" borderId="15" xfId="2" applyFont="1" applyBorder="1" applyAlignment="1">
      <alignment horizontal="center" vertical="center" wrapText="1"/>
    </xf>
    <xf numFmtId="0" fontId="13" fillId="0" borderId="16" xfId="2" applyFont="1" applyBorder="1" applyAlignment="1">
      <alignment horizontal="center" vertical="center" wrapText="1"/>
    </xf>
    <xf numFmtId="0" fontId="6" fillId="0" borderId="1" xfId="2" applyBorder="1"/>
    <xf numFmtId="0" fontId="13" fillId="0" borderId="1" xfId="6" applyFont="1" applyFill="1" applyBorder="1" applyAlignment="1">
      <alignment horizontal="left" vertical="center" wrapText="1"/>
    </xf>
    <xf numFmtId="0" fontId="17" fillId="5" borderId="1" xfId="6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justify" vertical="center"/>
    </xf>
    <xf numFmtId="0" fontId="17" fillId="5" borderId="2" xfId="6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vertical="center" wrapText="1"/>
    </xf>
    <xf numFmtId="0" fontId="15" fillId="0" borderId="1" xfId="2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5" applyFont="1" applyFill="1" applyBorder="1" applyAlignment="1">
      <alignment vertical="center"/>
    </xf>
    <xf numFmtId="0" fontId="26" fillId="0" borderId="0" xfId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5" applyFont="1" applyFill="1" applyBorder="1" applyAlignment="1">
      <alignment vertical="center"/>
    </xf>
    <xf numFmtId="0" fontId="25" fillId="0" borderId="0" xfId="5" applyFont="1" applyFill="1" applyBorder="1" applyAlignment="1">
      <alignment vertical="center" wrapText="1"/>
    </xf>
    <xf numFmtId="0" fontId="26" fillId="0" borderId="0" xfId="5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7" fillId="0" borderId="0" xfId="8" applyFont="1"/>
    <xf numFmtId="0" fontId="28" fillId="6" borderId="6" xfId="8" applyFont="1" applyFill="1" applyBorder="1" applyAlignment="1">
      <alignment horizontal="center" vertical="center" wrapText="1"/>
    </xf>
    <xf numFmtId="0" fontId="28" fillId="6" borderId="1" xfId="8" applyFont="1" applyFill="1" applyBorder="1" applyAlignment="1">
      <alignment horizontal="center" vertical="center" wrapText="1"/>
    </xf>
    <xf numFmtId="0" fontId="28" fillId="2" borderId="6" xfId="8" applyFont="1" applyFill="1" applyBorder="1" applyAlignment="1">
      <alignment horizontal="center" vertical="center" wrapText="1"/>
    </xf>
    <xf numFmtId="0" fontId="29" fillId="2" borderId="1" xfId="8" applyFont="1" applyFill="1" applyBorder="1" applyAlignment="1">
      <alignment horizontal="center" vertical="center" wrapText="1"/>
    </xf>
    <xf numFmtId="0" fontId="28" fillId="2" borderId="1" xfId="8" applyFont="1" applyFill="1" applyBorder="1" applyAlignment="1">
      <alignment horizontal="center" vertical="center" wrapText="1"/>
    </xf>
    <xf numFmtId="0" fontId="28" fillId="2" borderId="6" xfId="8" applyFont="1" applyFill="1" applyBorder="1" applyAlignment="1">
      <alignment horizontal="left" vertical="center" wrapText="1"/>
    </xf>
    <xf numFmtId="4" fontId="28" fillId="2" borderId="6" xfId="8" applyNumberFormat="1" applyFont="1" applyFill="1" applyBorder="1" applyAlignment="1">
      <alignment horizontal="center" vertical="center" wrapText="1"/>
    </xf>
    <xf numFmtId="2" fontId="28" fillId="2" borderId="1" xfId="8" applyNumberFormat="1" applyFont="1" applyFill="1" applyBorder="1" applyAlignment="1">
      <alignment horizontal="center" vertical="center" wrapText="1"/>
    </xf>
    <xf numFmtId="4" fontId="28" fillId="2" borderId="1" xfId="8" applyNumberFormat="1" applyFont="1" applyFill="1" applyBorder="1" applyAlignment="1">
      <alignment horizontal="center" vertical="center" wrapText="1"/>
    </xf>
    <xf numFmtId="167" fontId="30" fillId="2" borderId="1" xfId="8" applyNumberFormat="1" applyFont="1" applyFill="1" applyBorder="1" applyAlignment="1">
      <alignment horizontal="center" vertical="center"/>
    </xf>
    <xf numFmtId="0" fontId="31" fillId="7" borderId="1" xfId="8" applyFont="1" applyFill="1" applyBorder="1" applyAlignment="1">
      <alignment horizontal="left" vertical="center" wrapText="1"/>
    </xf>
    <xf numFmtId="1" fontId="31" fillId="7" borderId="1" xfId="8" applyNumberFormat="1" applyFont="1" applyFill="1" applyBorder="1" applyAlignment="1">
      <alignment horizontal="center" vertical="center" wrapText="1"/>
    </xf>
    <xf numFmtId="167" fontId="31" fillId="7" borderId="1" xfId="8" applyNumberFormat="1" applyFont="1" applyFill="1" applyBorder="1" applyAlignment="1">
      <alignment horizontal="right" vertical="center" wrapText="1"/>
    </xf>
    <xf numFmtId="167" fontId="30" fillId="7" borderId="1" xfId="8" applyNumberFormat="1" applyFont="1" applyFill="1" applyBorder="1" applyAlignment="1">
      <alignment horizontal="right" vertical="center"/>
    </xf>
    <xf numFmtId="0" fontId="32" fillId="0" borderId="1" xfId="8" applyFont="1" applyFill="1" applyBorder="1" applyAlignment="1">
      <alignment vertical="center" wrapText="1"/>
    </xf>
    <xf numFmtId="1" fontId="31" fillId="0" borderId="1" xfId="8" applyNumberFormat="1" applyFont="1" applyFill="1" applyBorder="1" applyAlignment="1">
      <alignment horizontal="center" vertical="center" wrapText="1"/>
    </xf>
    <xf numFmtId="167" fontId="30" fillId="0" borderId="1" xfId="8" applyNumberFormat="1" applyFont="1" applyFill="1" applyBorder="1" applyAlignment="1">
      <alignment horizontal="right" vertical="center" wrapText="1"/>
    </xf>
    <xf numFmtId="167" fontId="30" fillId="2" borderId="1" xfId="8" applyNumberFormat="1" applyFont="1" applyFill="1" applyBorder="1" applyAlignment="1">
      <alignment horizontal="right" vertical="center"/>
    </xf>
    <xf numFmtId="0" fontId="32" fillId="2" borderId="1" xfId="8" applyFont="1" applyFill="1" applyBorder="1" applyAlignment="1">
      <alignment horizontal="left" vertical="top" wrapText="1"/>
    </xf>
    <xf numFmtId="1" fontId="31" fillId="2" borderId="1" xfId="8" applyNumberFormat="1" applyFont="1" applyFill="1" applyBorder="1" applyAlignment="1">
      <alignment horizontal="center" vertical="center" wrapText="1"/>
    </xf>
    <xf numFmtId="167" fontId="32" fillId="7" borderId="1" xfId="8" applyNumberFormat="1" applyFont="1" applyFill="1" applyBorder="1" applyAlignment="1">
      <alignment horizontal="right" vertical="center" wrapText="1"/>
    </xf>
    <xf numFmtId="167" fontId="33" fillId="7" borderId="1" xfId="8" applyNumberFormat="1" applyFont="1" applyFill="1" applyBorder="1" applyAlignment="1">
      <alignment horizontal="right" vertical="center" wrapText="1"/>
    </xf>
    <xf numFmtId="167" fontId="33" fillId="7" borderId="1" xfId="8" applyNumberFormat="1" applyFont="1" applyFill="1" applyBorder="1" applyAlignment="1">
      <alignment horizontal="right" vertical="center"/>
    </xf>
    <xf numFmtId="167" fontId="27" fillId="0" borderId="0" xfId="8" applyNumberFormat="1" applyFont="1"/>
    <xf numFmtId="167" fontId="32" fillId="2" borderId="1" xfId="8" applyNumberFormat="1" applyFont="1" applyFill="1" applyBorder="1" applyAlignment="1">
      <alignment horizontal="right" vertical="center" wrapText="1"/>
    </xf>
    <xf numFmtId="4" fontId="33" fillId="2" borderId="1" xfId="8" applyNumberFormat="1" applyFont="1" applyFill="1" applyBorder="1" applyAlignment="1">
      <alignment horizontal="right" vertical="center" wrapText="1"/>
    </xf>
    <xf numFmtId="167" fontId="33" fillId="2" borderId="1" xfId="8" applyNumberFormat="1" applyFont="1" applyFill="1" applyBorder="1" applyAlignment="1">
      <alignment horizontal="right" vertical="center" wrapText="1"/>
    </xf>
    <xf numFmtId="167" fontId="33" fillId="2" borderId="1" xfId="8" applyNumberFormat="1" applyFont="1" applyFill="1" applyBorder="1" applyAlignment="1">
      <alignment horizontal="right" vertical="center"/>
    </xf>
    <xf numFmtId="167" fontId="29" fillId="2" borderId="1" xfId="8" applyNumberFormat="1" applyFont="1" applyFill="1" applyBorder="1" applyAlignment="1">
      <alignment horizontal="right" vertical="center" wrapText="1"/>
    </xf>
    <xf numFmtId="167" fontId="34" fillId="2" borderId="1" xfId="8" applyNumberFormat="1" applyFont="1" applyFill="1" applyBorder="1" applyAlignment="1">
      <alignment horizontal="right" vertical="center" wrapText="1"/>
    </xf>
    <xf numFmtId="167" fontId="34" fillId="2" borderId="1" xfId="8" applyNumberFormat="1" applyFont="1" applyFill="1" applyBorder="1" applyAlignment="1">
      <alignment horizontal="right" vertical="center"/>
    </xf>
    <xf numFmtId="167" fontId="34" fillId="2" borderId="1" xfId="8" quotePrefix="1" applyNumberFormat="1" applyFont="1" applyFill="1" applyBorder="1" applyAlignment="1">
      <alignment horizontal="right" vertical="center" wrapText="1"/>
    </xf>
    <xf numFmtId="0" fontId="32" fillId="2" borderId="1" xfId="8" applyFont="1" applyFill="1" applyBorder="1" applyAlignment="1">
      <alignment vertical="center" wrapText="1"/>
    </xf>
    <xf numFmtId="167" fontId="31" fillId="0" borderId="1" xfId="8" applyNumberFormat="1" applyFont="1" applyFill="1" applyBorder="1" applyAlignment="1">
      <alignment horizontal="right" vertical="center" wrapText="1"/>
    </xf>
    <xf numFmtId="167" fontId="30" fillId="0" borderId="1" xfId="8" applyNumberFormat="1" applyFont="1" applyBorder="1" applyAlignment="1">
      <alignment horizontal="right" vertical="center"/>
    </xf>
    <xf numFmtId="167" fontId="29" fillId="0" borderId="1" xfId="8" applyNumberFormat="1" applyFont="1" applyFill="1" applyBorder="1" applyAlignment="1">
      <alignment horizontal="right" vertical="center" wrapText="1"/>
    </xf>
    <xf numFmtId="167" fontId="33" fillId="0" borderId="1" xfId="8" applyNumberFormat="1" applyFont="1" applyBorder="1" applyAlignment="1">
      <alignment horizontal="right" vertical="center" wrapText="1"/>
    </xf>
    <xf numFmtId="167" fontId="33" fillId="0" borderId="1" xfId="8" applyNumberFormat="1" applyFont="1" applyBorder="1" applyAlignment="1">
      <alignment horizontal="right" vertical="center"/>
    </xf>
    <xf numFmtId="167" fontId="32" fillId="0" borderId="1" xfId="8" applyNumberFormat="1" applyFont="1" applyFill="1" applyBorder="1" applyAlignment="1">
      <alignment horizontal="right" vertical="center" wrapText="1"/>
    </xf>
    <xf numFmtId="167" fontId="28" fillId="0" borderId="1" xfId="8" applyNumberFormat="1" applyFont="1" applyBorder="1" applyAlignment="1">
      <alignment horizontal="right" vertical="center" wrapText="1"/>
    </xf>
    <xf numFmtId="0" fontId="32" fillId="8" borderId="1" xfId="8" applyFont="1" applyFill="1" applyBorder="1" applyAlignment="1">
      <alignment horizontal="right" vertical="center" wrapText="1"/>
    </xf>
    <xf numFmtId="1" fontId="31" fillId="8" borderId="1" xfId="8" applyNumberFormat="1" applyFont="1" applyFill="1" applyBorder="1" applyAlignment="1">
      <alignment horizontal="center" vertical="center" wrapText="1"/>
    </xf>
    <xf numFmtId="167" fontId="29" fillId="8" borderId="1" xfId="8" applyNumberFormat="1" applyFont="1" applyFill="1" applyBorder="1" applyAlignment="1">
      <alignment horizontal="right" vertical="center" wrapText="1"/>
    </xf>
    <xf numFmtId="49" fontId="31" fillId="2" borderId="1" xfId="8" applyNumberFormat="1" applyFont="1" applyFill="1" applyBorder="1" applyAlignment="1">
      <alignment horizontal="center" vertical="center" wrapText="1"/>
    </xf>
    <xf numFmtId="167" fontId="34" fillId="0" borderId="1" xfId="8" applyNumberFormat="1" applyFont="1" applyBorder="1" applyAlignment="1">
      <alignment horizontal="right" vertical="center" wrapText="1"/>
    </xf>
    <xf numFmtId="167" fontId="34" fillId="0" borderId="1" xfId="8" applyNumberFormat="1" applyFont="1" applyBorder="1" applyAlignment="1">
      <alignment horizontal="right" vertical="center"/>
    </xf>
    <xf numFmtId="0" fontId="31" fillId="2" borderId="1" xfId="8" applyFont="1" applyFill="1" applyBorder="1" applyAlignment="1">
      <alignment horizontal="center" vertical="center" wrapText="1"/>
    </xf>
    <xf numFmtId="167" fontId="34" fillId="0" borderId="1" xfId="8" applyNumberFormat="1" applyFont="1" applyFill="1" applyBorder="1" applyAlignment="1">
      <alignment horizontal="right" vertical="center" wrapText="1"/>
    </xf>
    <xf numFmtId="167" fontId="33" fillId="0" borderId="1" xfId="8" applyNumberFormat="1" applyFont="1" applyFill="1" applyBorder="1" applyAlignment="1">
      <alignment horizontal="right" vertical="center" wrapText="1"/>
    </xf>
    <xf numFmtId="167" fontId="29" fillId="0" borderId="1" xfId="8" applyNumberFormat="1" applyFont="1" applyBorder="1" applyAlignment="1">
      <alignment horizontal="right" vertical="center" wrapText="1"/>
    </xf>
    <xf numFmtId="167" fontId="29" fillId="9" borderId="1" xfId="8" applyNumberFormat="1" applyFont="1" applyFill="1" applyBorder="1" applyAlignment="1">
      <alignment horizontal="right" vertical="center" wrapText="1"/>
    </xf>
    <xf numFmtId="0" fontId="32" fillId="2" borderId="1" xfId="8" applyFont="1" applyFill="1" applyBorder="1" applyAlignment="1">
      <alignment horizontal="center" vertical="center" wrapText="1"/>
    </xf>
    <xf numFmtId="0" fontId="31" fillId="2" borderId="1" xfId="8" applyFont="1" applyFill="1" applyBorder="1" applyAlignment="1">
      <alignment vertical="center" wrapText="1"/>
    </xf>
    <xf numFmtId="167" fontId="31" fillId="2" borderId="1" xfId="8" applyNumberFormat="1" applyFont="1" applyFill="1" applyBorder="1" applyAlignment="1">
      <alignment horizontal="right" vertical="center" wrapText="1"/>
    </xf>
    <xf numFmtId="14" fontId="33" fillId="0" borderId="0" xfId="8" applyNumberFormat="1" applyFont="1" applyAlignment="1">
      <alignment horizontal="left"/>
    </xf>
    <xf numFmtId="0" fontId="30" fillId="10" borderId="1" xfId="8" applyFont="1" applyFill="1" applyBorder="1" applyAlignment="1">
      <alignment horizontal="center"/>
    </xf>
    <xf numFmtId="0" fontId="33" fillId="10" borderId="1" xfId="8" applyFont="1" applyFill="1" applyBorder="1"/>
    <xf numFmtId="167" fontId="33" fillId="10" borderId="1" xfId="8" applyNumberFormat="1" applyFont="1" applyFill="1" applyBorder="1"/>
    <xf numFmtId="0" fontId="33" fillId="0" borderId="1" xfId="8" applyFont="1" applyBorder="1" applyAlignment="1">
      <alignment horizontal="left" vertical="center" wrapText="1"/>
    </xf>
    <xf numFmtId="167" fontId="33" fillId="0" borderId="1" xfId="8" applyNumberFormat="1" applyFont="1" applyBorder="1" applyAlignment="1">
      <alignment vertical="center"/>
    </xf>
    <xf numFmtId="167" fontId="33" fillId="10" borderId="1" xfId="8" applyNumberFormat="1" applyFont="1" applyFill="1" applyBorder="1" applyAlignment="1">
      <alignment vertical="center"/>
    </xf>
    <xf numFmtId="167" fontId="34" fillId="0" borderId="1" xfId="8" applyNumberFormat="1" applyFont="1" applyBorder="1" applyAlignment="1">
      <alignment vertical="center"/>
    </xf>
    <xf numFmtId="167" fontId="33" fillId="11" borderId="1" xfId="8" applyNumberFormat="1" applyFont="1" applyFill="1" applyBorder="1" applyAlignment="1">
      <alignment vertical="center"/>
    </xf>
    <xf numFmtId="0" fontId="30" fillId="6" borderId="1" xfId="8" applyFont="1" applyFill="1" applyBorder="1" applyAlignment="1">
      <alignment wrapText="1"/>
    </xf>
    <xf numFmtId="167" fontId="30" fillId="6" borderId="1" xfId="8" applyNumberFormat="1" applyFont="1" applyFill="1" applyBorder="1" applyAlignment="1">
      <alignment vertical="center"/>
    </xf>
    <xf numFmtId="0" fontId="30" fillId="12" borderId="1" xfId="8" applyFont="1" applyFill="1" applyBorder="1"/>
    <xf numFmtId="167" fontId="30" fillId="12" borderId="1" xfId="8" applyNumberFormat="1" applyFont="1" applyFill="1" applyBorder="1"/>
    <xf numFmtId="0" fontId="8" fillId="0" borderId="0" xfId="8" applyFont="1"/>
    <xf numFmtId="167" fontId="8" fillId="0" borderId="0" xfId="8" applyNumberFormat="1" applyFont="1"/>
    <xf numFmtId="0" fontId="13" fillId="0" borderId="1" xfId="0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9" fontId="13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7" fontId="24" fillId="0" borderId="1" xfId="0" applyNumberFormat="1" applyFont="1" applyFill="1" applyBorder="1" applyAlignment="1">
      <alignment horizontal="center" vertical="center" wrapText="1"/>
    </xf>
    <xf numFmtId="165" fontId="24" fillId="0" borderId="1" xfId="5" applyNumberFormat="1" applyFont="1" applyFill="1" applyBorder="1" applyAlignment="1">
      <alignment horizontal="right" vertical="center" wrapText="1"/>
    </xf>
    <xf numFmtId="165" fontId="35" fillId="0" borderId="1" xfId="5" applyNumberFormat="1" applyFont="1" applyFill="1" applyBorder="1" applyAlignment="1">
      <alignment horizontal="right" vertical="center" wrapText="1"/>
    </xf>
    <xf numFmtId="168" fontId="24" fillId="0" borderId="1" xfId="5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49" fontId="24" fillId="2" borderId="1" xfId="5" applyNumberFormat="1" applyFont="1" applyFill="1" applyBorder="1" applyAlignment="1">
      <alignment horizontal="center" vertical="center"/>
    </xf>
    <xf numFmtId="0" fontId="24" fillId="0" borderId="0" xfId="5" applyFont="1" applyFill="1" applyBorder="1" applyAlignment="1">
      <alignment vertical="center"/>
    </xf>
    <xf numFmtId="0" fontId="35" fillId="0" borderId="0" xfId="5" applyFont="1" applyFill="1" applyBorder="1" applyAlignment="1">
      <alignment vertical="center"/>
    </xf>
    <xf numFmtId="0" fontId="24" fillId="0" borderId="1" xfId="5" applyFont="1" applyFill="1" applyBorder="1" applyAlignment="1">
      <alignment horizontal="center" vertical="center" wrapText="1"/>
    </xf>
    <xf numFmtId="0" fontId="35" fillId="0" borderId="1" xfId="5" applyFont="1" applyFill="1" applyBorder="1" applyAlignment="1">
      <alignment horizontal="center" vertical="center" wrapText="1"/>
    </xf>
    <xf numFmtId="165" fontId="35" fillId="0" borderId="1" xfId="0" applyNumberFormat="1" applyFont="1" applyFill="1" applyBorder="1" applyAlignment="1">
      <alignment horizontal="right" vertical="center" wrapText="1"/>
    </xf>
    <xf numFmtId="165" fontId="24" fillId="0" borderId="1" xfId="0" applyNumberFormat="1" applyFont="1" applyFill="1" applyBorder="1" applyAlignment="1">
      <alignment horizontal="right" vertical="center" wrapText="1"/>
    </xf>
    <xf numFmtId="49" fontId="24" fillId="0" borderId="1" xfId="5" applyNumberFormat="1" applyFont="1" applyFill="1" applyBorder="1" applyAlignment="1">
      <alignment horizontal="center" vertical="center"/>
    </xf>
    <xf numFmtId="171" fontId="35" fillId="0" borderId="1" xfId="9" applyNumberFormat="1" applyFont="1" applyFill="1" applyBorder="1" applyAlignment="1">
      <alignment horizontal="center" vertical="center" wrapText="1"/>
    </xf>
    <xf numFmtId="170" fontId="35" fillId="0" borderId="1" xfId="0" applyNumberFormat="1" applyFont="1" applyFill="1" applyBorder="1" applyAlignment="1">
      <alignment horizontal="center" vertical="center" wrapText="1"/>
    </xf>
    <xf numFmtId="169" fontId="35" fillId="0" borderId="1" xfId="0" applyNumberFormat="1" applyFont="1" applyFill="1" applyBorder="1" applyAlignment="1">
      <alignment horizontal="center" vertical="center" wrapText="1"/>
    </xf>
    <xf numFmtId="0" fontId="24" fillId="0" borderId="1" xfId="5" applyFont="1" applyFill="1" applyBorder="1" applyAlignment="1">
      <alignment vertical="center"/>
    </xf>
    <xf numFmtId="170" fontId="24" fillId="0" borderId="1" xfId="0" applyNumberFormat="1" applyFont="1" applyFill="1" applyBorder="1" applyAlignment="1">
      <alignment horizontal="right" vertical="center" wrapText="1"/>
    </xf>
    <xf numFmtId="171" fontId="24" fillId="0" borderId="1" xfId="9" applyNumberFormat="1" applyFont="1" applyFill="1" applyBorder="1" applyAlignment="1">
      <alignment horizontal="center" vertical="center" wrapText="1"/>
    </xf>
    <xf numFmtId="171" fontId="35" fillId="0" borderId="1" xfId="9" applyNumberFormat="1" applyFont="1" applyFill="1" applyBorder="1" applyAlignment="1">
      <alignment horizontal="center" vertical="center"/>
    </xf>
    <xf numFmtId="171" fontId="24" fillId="0" borderId="1" xfId="9" applyNumberFormat="1" applyFont="1" applyFill="1" applyBorder="1" applyAlignment="1">
      <alignment horizontal="center" vertical="center"/>
    </xf>
    <xf numFmtId="170" fontId="24" fillId="0" borderId="1" xfId="5" applyNumberFormat="1" applyFont="1" applyFill="1" applyBorder="1" applyAlignment="1">
      <alignment horizontal="right" vertical="center" wrapText="1"/>
    </xf>
    <xf numFmtId="171" fontId="35" fillId="0" borderId="1" xfId="9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35" fillId="2" borderId="1" xfId="5" applyNumberFormat="1" applyFont="1" applyFill="1" applyBorder="1" applyAlignment="1">
      <alignment horizontal="right" vertical="center" wrapText="1"/>
    </xf>
    <xf numFmtId="171" fontId="35" fillId="2" borderId="1" xfId="9" applyNumberFormat="1" applyFont="1" applyFill="1" applyBorder="1" applyAlignment="1">
      <alignment horizontal="center" vertical="center" wrapText="1"/>
    </xf>
    <xf numFmtId="171" fontId="35" fillId="2" borderId="1" xfId="9" applyNumberFormat="1" applyFont="1" applyFill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0" fontId="35" fillId="0" borderId="1" xfId="5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vertical="center" wrapText="1"/>
    </xf>
    <xf numFmtId="0" fontId="26" fillId="0" borderId="0" xfId="1" applyFont="1" applyFill="1" applyBorder="1" applyAlignment="1">
      <alignment horizontal="center" vertical="center" wrapText="1"/>
    </xf>
    <xf numFmtId="166" fontId="24" fillId="0" borderId="11" xfId="5" applyNumberFormat="1" applyFont="1" applyFill="1" applyBorder="1" applyAlignment="1">
      <alignment horizontal="left" vertical="center" wrapText="1"/>
    </xf>
    <xf numFmtId="166" fontId="24" fillId="0" borderId="3" xfId="5" applyNumberFormat="1" applyFont="1" applyFill="1" applyBorder="1" applyAlignment="1">
      <alignment horizontal="center" vertical="center" wrapText="1"/>
    </xf>
    <xf numFmtId="166" fontId="24" fillId="0" borderId="4" xfId="5" applyNumberFormat="1" applyFont="1" applyFill="1" applyBorder="1" applyAlignment="1">
      <alignment horizontal="center" vertical="center" wrapText="1"/>
    </xf>
    <xf numFmtId="166" fontId="24" fillId="0" borderId="5" xfId="5" applyNumberFormat="1" applyFont="1" applyFill="1" applyBorder="1" applyAlignment="1">
      <alignment horizontal="center" vertical="center" wrapText="1"/>
    </xf>
    <xf numFmtId="0" fontId="35" fillId="0" borderId="6" xfId="5" applyFont="1" applyFill="1" applyBorder="1" applyAlignment="1">
      <alignment horizontal="center" vertical="center" wrapText="1"/>
    </xf>
    <xf numFmtId="0" fontId="35" fillId="0" borderId="2" xfId="5" applyFont="1" applyFill="1" applyBorder="1" applyAlignment="1">
      <alignment horizontal="center" vertical="center" wrapText="1"/>
    </xf>
    <xf numFmtId="0" fontId="24" fillId="0" borderId="6" xfId="5" applyFont="1" applyFill="1" applyBorder="1" applyAlignment="1">
      <alignment horizontal="center" vertical="center" wrapText="1"/>
    </xf>
    <xf numFmtId="0" fontId="24" fillId="0" borderId="13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166" fontId="24" fillId="0" borderId="7" xfId="5" applyNumberFormat="1" applyFont="1" applyFill="1" applyBorder="1" applyAlignment="1">
      <alignment horizontal="center" vertical="center" wrapText="1"/>
    </xf>
    <xf numFmtId="166" fontId="24" fillId="0" borderId="8" xfId="5" applyNumberFormat="1" applyFont="1" applyFill="1" applyBorder="1" applyAlignment="1">
      <alignment horizontal="center" vertical="center" wrapText="1"/>
    </xf>
    <xf numFmtId="166" fontId="24" fillId="0" borderId="9" xfId="5" applyNumberFormat="1" applyFont="1" applyFill="1" applyBorder="1" applyAlignment="1">
      <alignment horizontal="center" vertical="center" wrapText="1"/>
    </xf>
    <xf numFmtId="166" fontId="24" fillId="0" borderId="10" xfId="5" applyNumberFormat="1" applyFont="1" applyFill="1" applyBorder="1" applyAlignment="1">
      <alignment horizontal="center" vertical="center" wrapText="1"/>
    </xf>
    <xf numFmtId="166" fontId="24" fillId="0" borderId="11" xfId="5" applyNumberFormat="1" applyFont="1" applyFill="1" applyBorder="1" applyAlignment="1">
      <alignment horizontal="center" vertical="center" wrapText="1"/>
    </xf>
    <xf numFmtId="166" fontId="24" fillId="0" borderId="12" xfId="5" applyNumberFormat="1" applyFont="1" applyFill="1" applyBorder="1" applyAlignment="1">
      <alignment horizontal="center" vertical="center" wrapText="1"/>
    </xf>
    <xf numFmtId="165" fontId="24" fillId="0" borderId="3" xfId="5" applyNumberFormat="1" applyFont="1" applyFill="1" applyBorder="1" applyAlignment="1">
      <alignment horizontal="center" vertical="center" wrapText="1"/>
    </xf>
    <xf numFmtId="165" fontId="24" fillId="0" borderId="4" xfId="5" applyNumberFormat="1" applyFont="1" applyFill="1" applyBorder="1" applyAlignment="1">
      <alignment horizontal="center" vertical="center" wrapText="1"/>
    </xf>
    <xf numFmtId="165" fontId="24" fillId="0" borderId="5" xfId="5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8" fillId="2" borderId="6" xfId="8" applyFont="1" applyFill="1" applyBorder="1" applyAlignment="1">
      <alignment horizontal="center" vertical="center" wrapText="1"/>
    </xf>
    <xf numFmtId="0" fontId="1" fillId="0" borderId="13" xfId="8" applyBorder="1" applyAlignment="1">
      <alignment horizontal="center" vertical="center" wrapText="1"/>
    </xf>
    <xf numFmtId="0" fontId="1" fillId="0" borderId="2" xfId="8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 wrapText="1"/>
    </xf>
    <xf numFmtId="0" fontId="17" fillId="0" borderId="1" xfId="6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wrapText="1"/>
    </xf>
    <xf numFmtId="0" fontId="13" fillId="0" borderId="6" xfId="6" applyFont="1" applyFill="1" applyBorder="1" applyAlignment="1">
      <alignment horizontal="center" vertical="center"/>
    </xf>
    <xf numFmtId="0" fontId="13" fillId="0" borderId="2" xfId="6" applyFont="1" applyFill="1" applyBorder="1" applyAlignment="1">
      <alignment horizontal="center" vertical="center"/>
    </xf>
    <xf numFmtId="0" fontId="13" fillId="0" borderId="14" xfId="6" applyFont="1" applyFill="1" applyBorder="1" applyAlignment="1">
      <alignment horizontal="center" vertical="center" wrapText="1"/>
    </xf>
    <xf numFmtId="0" fontId="13" fillId="0" borderId="0" xfId="6" applyFont="1" applyFill="1" applyBorder="1" applyAlignment="1">
      <alignment horizontal="center" vertical="center" wrapText="1"/>
    </xf>
    <xf numFmtId="0" fontId="13" fillId="0" borderId="14" xfId="6" applyFont="1" applyFill="1" applyBorder="1" applyAlignment="1">
      <alignment horizontal="center" vertical="center"/>
    </xf>
    <xf numFmtId="0" fontId="13" fillId="0" borderId="0" xfId="6" applyFont="1" applyFill="1" applyBorder="1" applyAlignment="1">
      <alignment horizontal="center" vertical="center"/>
    </xf>
    <xf numFmtId="0" fontId="6" fillId="0" borderId="14" xfId="2" applyBorder="1" applyAlignment="1">
      <alignment horizontal="center" wrapText="1"/>
    </xf>
    <xf numFmtId="0" fontId="6" fillId="0" borderId="0" xfId="2" applyAlignment="1">
      <alignment horizontal="center" wrapText="1"/>
    </xf>
    <xf numFmtId="0" fontId="13" fillId="0" borderId="1" xfId="6" applyFont="1" applyFill="1" applyBorder="1" applyAlignment="1">
      <alignment horizontal="left" vertical="center" wrapText="1"/>
    </xf>
    <xf numFmtId="168" fontId="13" fillId="0" borderId="6" xfId="6" applyNumberFormat="1" applyFont="1" applyFill="1" applyBorder="1" applyAlignment="1">
      <alignment horizontal="center" vertical="center"/>
    </xf>
    <xf numFmtId="168" fontId="13" fillId="0" borderId="13" xfId="6" applyNumberFormat="1" applyFont="1" applyFill="1" applyBorder="1" applyAlignment="1">
      <alignment horizontal="center" vertical="center"/>
    </xf>
    <xf numFmtId="168" fontId="13" fillId="0" borderId="2" xfId="6" applyNumberFormat="1" applyFont="1" applyFill="1" applyBorder="1" applyAlignment="1">
      <alignment horizontal="center" vertical="center"/>
    </xf>
    <xf numFmtId="0" fontId="13" fillId="0" borderId="7" xfId="6" applyFont="1" applyFill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0" xfId="2" applyFont="1" applyFill="1" applyAlignment="1">
      <alignment horizontal="justify" vertical="center" wrapText="1"/>
    </xf>
    <xf numFmtId="0" fontId="13" fillId="0" borderId="13" xfId="6" applyFont="1" applyFill="1" applyBorder="1" applyAlignment="1">
      <alignment horizontal="center" vertical="center"/>
    </xf>
  </cellXfs>
  <cellStyles count="10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Обычный 4" xfId="8"/>
    <cellStyle name="Финансовый" xfId="9" builtin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2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63" Type="http://schemas.openxmlformats.org/officeDocument/2006/relationships/externalLink" Target="externalLinks/externalLink59.xml"/><Relationship Id="rId68" Type="http://schemas.openxmlformats.org/officeDocument/2006/relationships/calcChain" Target="calcChain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5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66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61" Type="http://schemas.openxmlformats.org/officeDocument/2006/relationships/externalLink" Target="externalLinks/externalLink57.xml"/><Relationship Id="rId19" Type="http://schemas.openxmlformats.org/officeDocument/2006/relationships/externalLink" Target="externalLinks/externalLink1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64" Type="http://schemas.openxmlformats.org/officeDocument/2006/relationships/externalLink" Target="externalLinks/externalLink60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externalLink" Target="externalLinks/externalLink55.xml"/><Relationship Id="rId67" Type="http://schemas.openxmlformats.org/officeDocument/2006/relationships/sharedStrings" Target="sharedStrings.xml"/><Relationship Id="rId20" Type="http://schemas.openxmlformats.org/officeDocument/2006/relationships/externalLink" Target="externalLinks/externalLink16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externalLink" Target="externalLinks/externalLink5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10" Type="http://schemas.openxmlformats.org/officeDocument/2006/relationships/externalLink" Target="externalLinks/externalLink6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externalLink" Target="externalLinks/externalLink56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1-&#1044;&#1050;%20&#1059;&#1089;&#1090;&#1100;-&#1050;&#1072;&#1088;&#1072;/&#1057;&#1052;&#1045;&#1058;&#1040;%20&#1059;&#1057;&#1058;&#1068;%20&#1050;&#1040;&#1056;&#1040;%20+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1-&#1044;&#1050;%20&#1050;&#1072;&#1088;&#1072;&#1090;&#1072;&#1081;&#1082;&#1072;/&#1089;&#1084;&#1077;&#1090;&#1072;%20&#1082;&#1072;&#1088;&#1072;&#1090;&#1072;&#1081;&#1082;&#1072;%20+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0;&#1056;&#1040;&#1057;&#1053;&#1054;&#1045;%20+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3-&#1044;&#1050;%20&#1064;&#1086;&#1081;&#1085;&#1072;/&#1057;&#1052;&#1045;&#1058;&#1040;%20&#1096;&#1086;&#1081;&#1085;&#1072;+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4-&#1048;&#1044;&#1062;%20&#1061;&#1086;&#1088;&#1077;&#1081;-&#1042;&#1077;&#1088;/&#1057;&#1052;&#1045;&#1058;&#1040;%20&#1061;-&#1042;&#1045;&#1056;+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5-&#1050;&#1083;&#1091;&#1073;%20&#1057;&#1086;&#1079;&#1074;&#1077;&#1079;&#1076;&#1080;&#1077;/&#1057;&#1052;&#1045;&#1058;&#1040;%20&#1089;&#1086;&#1079;&#1074;&#1077;&#1079;&#1076;&#1080;&#1077;+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6-&#1050;&#1062;%20&#1057;&#1072;&#1074;&#1077;&#1085;&#1082;&#1086;&#1074;&#1086;&#1081;%20&#1050;&#1086;&#1090;&#1082;&#1080;&#1085;&#1086;/&#1057;&#1052;&#1045;&#1058;&#1040;%20&#1050;&#1054;&#1058;&#1050;&#1048;&#1053;&#1054;%20+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7-&#1055;&#1088;&#1077;&#1089;&#1090;&#1080;&#1078;%20&#1058;&#1077;&#1083;&#1100;&#1074;&#1080;&#1089;&#1082;&#1072;/&#1057;&#1052;&#1045;&#1058;&#1040;%20&#1055;&#1056;&#1045;&#1057;&#1058;&#1048;&#1046;%20&#1053;&#1054;&#1042;&#1040;&#1071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8-&#1061;&#1072;&#1088;&#1091;&#1090;&#1080;&#1085;&#1089;&#1082;&#1080;&#1081;%20&#1057;&#1062;&#1050;&#1044;/&#1057;&#1052;&#1045;&#1058;&#1040;%20&#1061;&#1040;&#1056;&#1059;&#1058;&#1040;+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2-&#1055;&#1077;&#1096;&#1089;&#1082;&#1080;&#1081;%20&#1062;&#1044;&#1050;/&#1057;&#1052;&#1045;&#1058;&#1040;%20&#1053;&#1048;&#1046;&#1053;&#1071;&#1071;%20&#1055;&#1045;&#1064;&#1040;%20+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5-&#1053;&#1077;&#1089;&#1089;&#1082;&#1080;&#1081;%20&#1044;&#1053;&#1058;/&#1057;&#1052;&#1045;&#1058;&#1040;%20&#1053;&#1045;&#1057;&#1068;%20&#1053;&#1054;&#1042;&#1040;&#1071;%20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3-&#1054;&#1084;&#1089;&#1082;&#1080;&#1081;%20&#1062;&#1044;&#1050;/&#1057;&#1052;&#1045;&#1058;&#1040;%20&#1054;&#1052;&#1040;%20&#1053;&#1054;&#1042;&#1040;&#1071;%20+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7-&#1042;&#1080;&#1089;&#1086;&#1095;&#1085;&#1099;&#1081;%20&#1062;&#1044;&#1050;/&#1057;&#1052;&#1045;&#1058;&#1040;%20&#1042;&#1080;&#1089;&#1082;&#1072;%20+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0-&#1044;&#1050;%20&#1041;&#1091;&#1075;&#1088;&#1080;&#1085;&#1086;/&#1057;&#1052;&#1045;&#1058;&#1040;%20&#1041;&#1059;&#1043;&#1056;&#1048;&#1053;&#1054;%20+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12-&#1044;&#1050;%20&#1050;&#1088;&#1072;&#1089;&#1085;&#1086;&#1077;/&#1057;&#1052;&#1045;&#1058;&#1040;%20&#1050;&#1056;&#1040;&#1057;&#1053;&#1054;&#1045;%20+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9;&#1089;&#1090;&#1100;-&#1050;&#1072;&#1088;&#1072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5;&#1077;&#1096;&#1072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4;&#1084;&#107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4;&#1082;&#1089;&#1080;&#1085;&#1086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3;&#1077;&#1089;&#1100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8;&#1085;&#1076;&#1080;&#1075;&#1072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2;&#1077;&#1083;&#1080;&#1082;&#1086;&#1074;&#1080;&#1089;&#1086;&#1095;&#1085;&#1086;&#10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4-&#1055;&#1091;&#1089;&#1090;&#1086;&#1079;&#1077;&#1088;&#1089;&#1082;&#1080;&#1081;%20&#1062;&#1044;&#1050;/&#1057;&#1052;&#1045;&#1058;&#1040;%20&#1054;&#1050;&#1057;&#1048;&#1053;&#1054;%20+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0;&#1085;&#1076;&#1077;&#1075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0;&#1084;&#1076;&#1077;&#1088;&#1084;&#1072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41;&#1091;&#1075;&#1088;&#1080;&#1085;&#1086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0;&#1072;&#1088;&#1072;&#1090;&#1072;&#1081;&#1082;&#1072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0;&#1088;&#1072;&#1089;&#1085;&#1086;&#1077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64;&#1086;&#1081;&#1085;&#1072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61;&#1086;&#1088;&#1077;&#1081;-&#1042;&#1077;&#1088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7;&#1086;&#1079;&#1074;&#1077;&#1079;&#1076;&#1080;&#1077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0;&#1086;&#1090;&#1082;&#1080;&#1085;&#1086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58;&#1077;&#1083;&#1100;&#1074;&#1080;&#1089;&#1082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3;&#1045;&#1057;&#1068;%20&#1053;&#1054;&#1042;&#1040;&#1071;%20+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&#1047;&#1072;&#1088;&#1087;&#1083;&#1072;&#1090;&#1072;%202023-2024/&#1061;&#1072;&#1088;&#1091;&#1090;&#1072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4;&#1050;&#1057;&#1048;&#1053;&#1054;%20+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8;&#1053;&#1044;&#1048;&#1043;&#1040;%20+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0;&#1053;&#1044;&#1045;&#1043;%20+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0;&#1084;&#1076;&#1077;&#1088;&#1084;&#1072;%20+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89;&#1084;&#1077;&#1090;&#1072;%20&#1082;&#1072;&#1088;&#1072;&#1090;&#1072;&#1081;&#1082;&#1072;%20+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96;&#1086;&#1081;&#1085;&#1072;+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61;=&#1042;+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89;&#1086;&#1079;&#1074;&#1077;&#1079;&#1076;&#1080;&#1077;+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0;&#1054;&#1058;&#1050;&#1048;&#1053;&#1054;%20+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6-&#1058;&#1080;&#1084;&#1072;&#1085;&#1089;&#1082;&#1080;&#1081;%20&#1062;&#1044;&#1050;/&#1057;&#1052;&#1045;&#1058;&#1040;%20&#1048;&#1053;&#1044;&#1048;&#1043;&#1040;%20+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5;&#1056;&#1045;&#1057;&#1058;&#1048;&#1046;%20&#1053;&#1054;&#1042;&#1040;&#1071;.xlsx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61;&#1040;&#1056;&#1059;&#1058;&#1040;+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7;&#1042;&#1054;&#1044;%20&#1055;&#1054;%20&#1057;&#1052;&#1045;&#1058;&#1040;&#1052;%20&#1059;&#1069;&#1080;&#1055;%202025%20&#1074;&#1077;&#1088;&#1089;&#1080;&#1103;%20&#1058;&#1072;&#1085;&#1103;.xlsx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!&#1057;&#1074;&#1086;&#1076;%20&#1080;&#1085;&#1099;&#1077;%20&#1089;&#1091;&#1073;&#1089;&#1080;&#1076;&#1080;&#1080;%20&#1089;&#1077;&#1083;&#1086;%202025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48;&#1085;&#1099;&#1077;%20&#1076;&#1086;&#1082;&#1091;&#1084;&#1077;&#1085;&#1090;&#1099;%20&#1076;&#1083;&#1103;%20&#1088;&#1072;&#1073;&#1086;&#1090;&#1099;%20&#1087;&#1086;%20&#1044;&#1050;/!&#1057;&#1074;&#1086;&#1076;%20&#1080;&#1085;&#1099;&#1077;%20&#1089;&#1091;&#1073;&#1089;&#1080;&#1076;&#1080;&#1080;%20&#1089;&#1077;&#1083;&#1086;%202025.xlsx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59;&#1057;&#1058;&#1068;%20&#1050;&#1040;&#1056;&#1040;%20&#1053;&#1054;&#1042;&#1040;&#1071;%20+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4;&#1073;&#1097;&#1080;&#1081;%20&#1088;&#1072;&#1089;&#1095;&#1077;&#1090;%20&#1050;&#1059;/&#1050;&#1059;%20&#1087;&#1088;&#1086;&#1074;&#1077;&#1088;&#1082;&#1072;%202025.xlsx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4;&#1073;&#1097;&#1080;&#1081;%20&#1088;&#1072;&#1089;&#1095;&#1077;&#1090;%20&#1050;&#1059;/&#1056;&#1072;&#1089;&#1095;&#1077;&#1090;%20&#1050;&#1059;%20&#1085;&#1072;%202025%20&#1075;&#1086;&#1076;%20&#1086;&#1073;&#1097;&#1080;&#1081;%20&#1059;&#1069;&#1080;&#1055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4;&#1073;&#1097;&#1080;&#1081;%20&#1088;&#1072;&#1089;&#1095;&#1077;&#1090;%20&#1063;&#1054;&#1055;/&#1057;&#1042;&#1054;&#1044;%20&#1086;&#1093;&#1088;&#1072;&#1085;&#1072;.xlsx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&#1057;&#1042;&#1054;&#1044;%20&#1086;&#1093;&#1088;&#1072;&#1085;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2;&#1080;&#1089;&#1082;&#1072;%20+.xlsx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7;&#1042;&#1054;&#1044;%20202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8-&#1044;&#1050;%20&#1040;&#1085;&#1076;&#1077;&#1075;/&#1057;&#1052;&#1045;&#1058;&#1040;%20&#1040;&#1053;&#1044;&#1045;&#1043;%20+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09-&#1044;&#1050;%20&#1040;&#1084;&#1076;&#1077;&#1088;&#1084;&#1072;/&#1057;&#1052;&#1045;&#1058;&#1040;%20&#1040;&#1084;&#1076;&#1077;&#1088;&#1084;&#1072;%20+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50;&#1054;&#1053;&#1054;&#1052;&#1048;&#1050;&#1040;/&#1050;&#1059;&#1051;&#1068;&#1058;&#1059;&#1056;&#1040;/&#1055;&#1088;&#1086;&#1077;&#1082;&#1090;%20&#1073;&#1102;&#1076;&#1078;&#1077;&#1090;&#1072;%202025/1.&#1057;&#1052;&#1045;&#1058;&#1067;%20&#1085;&#1072;%20&#1043;&#1047;%202025/&#1057;&#1052;&#1045;&#1058;&#1040;%20&#1041;&#1059;&#1043;&#1056;&#1048;&#1053;&#1054;%2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"/>
      <sheetName val="Тран.усл."/>
      <sheetName val="Прочие услуги,работы"/>
      <sheetName val="услуги,работы 225-770"/>
      <sheetName val="Содержание имущества225-055"/>
      <sheetName val="ТО ОЗП"/>
      <sheetName val="Командировочные расходы"/>
      <sheetName val="Внебюджет"/>
      <sheetName val="налог на имущество и земельный"/>
    </sheetNames>
    <sheetDataSet>
      <sheetData sheetId="0">
        <row r="22">
          <cell r="E22">
            <v>19600</v>
          </cell>
        </row>
        <row r="29">
          <cell r="E29">
            <v>92552.646240000016</v>
          </cell>
        </row>
        <row r="30">
          <cell r="E30">
            <v>284320</v>
          </cell>
        </row>
        <row r="32">
          <cell r="E32">
            <v>0</v>
          </cell>
        </row>
        <row r="34">
          <cell r="E34">
            <v>86600</v>
          </cell>
        </row>
        <row r="35">
          <cell r="E35">
            <v>74350</v>
          </cell>
        </row>
      </sheetData>
      <sheetData sheetId="1">
        <row r="10">
          <cell r="C10">
            <v>2</v>
          </cell>
          <cell r="O10">
            <v>1908665.2586761289</v>
          </cell>
          <cell r="P10">
            <v>97956.443199999994</v>
          </cell>
        </row>
        <row r="24">
          <cell r="L24">
            <v>3232872</v>
          </cell>
        </row>
      </sheetData>
      <sheetData sheetId="2">
        <row r="8">
          <cell r="U8">
            <v>110000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3">
          <cell r="C23">
            <v>15000</v>
          </cell>
        </row>
      </sheetData>
      <sheetData sheetId="1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1729.55</v>
          </cell>
        </row>
      </sheetData>
      <sheetData sheetId="1">
        <row r="28">
          <cell r="C28">
            <v>5</v>
          </cell>
          <cell r="O28">
            <v>3545244.9205028284</v>
          </cell>
          <cell r="P28">
            <v>205242.06351971999</v>
          </cell>
        </row>
        <row r="42">
          <cell r="L42">
            <v>8082180</v>
          </cell>
        </row>
      </sheetData>
      <sheetData sheetId="2">
        <row r="8">
          <cell r="U8">
            <v>138857.38667520002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24">
          <cell r="C24">
            <v>50000</v>
          </cell>
        </row>
      </sheetData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11830.282076559741</v>
          </cell>
        </row>
        <row r="22">
          <cell r="D22">
            <v>9.8000000000000007</v>
          </cell>
        </row>
        <row r="26">
          <cell r="D26">
            <v>151</v>
          </cell>
        </row>
        <row r="29">
          <cell r="D29">
            <v>1031.54</v>
          </cell>
        </row>
        <row r="30">
          <cell r="D30">
            <v>238.2</v>
          </cell>
        </row>
        <row r="32">
          <cell r="D32">
            <v>2.4790000000000001</v>
          </cell>
        </row>
        <row r="35">
          <cell r="D35">
            <v>382.55599999999998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C17">
            <v>90000</v>
          </cell>
        </row>
      </sheetData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211"/>
      <sheetName val="Связь221"/>
      <sheetName val="Материальные запасы346,349"/>
      <sheetName val="Основные средства"/>
      <sheetName val="Транспортные услуги222"/>
      <sheetName val="Прочие услуги,работы226"/>
      <sheetName val="услуги,работы 225-770"/>
      <sheetName val="Содержание имущества225-055"/>
      <sheetName val="Командировочные расходы212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859.9</v>
          </cell>
        </row>
      </sheetData>
      <sheetData sheetId="1">
        <row r="28">
          <cell r="C28">
            <v>2.25</v>
          </cell>
          <cell r="O28">
            <v>2522981.6436232254</v>
          </cell>
          <cell r="P28">
            <v>122445.554</v>
          </cell>
        </row>
        <row r="42">
          <cell r="L42">
            <v>3636981</v>
          </cell>
        </row>
      </sheetData>
      <sheetData sheetId="2">
        <row r="8">
          <cell r="U8">
            <v>246800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1000</v>
          </cell>
        </row>
      </sheetData>
      <sheetData sheetId="1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100</v>
          </cell>
        </row>
      </sheetData>
      <sheetData sheetId="1">
        <row r="29">
          <cell r="C29">
            <v>3.25</v>
          </cell>
          <cell r="O29">
            <v>3377478.3089806451</v>
          </cell>
          <cell r="P29">
            <v>124326.23579999999</v>
          </cell>
        </row>
        <row r="43">
          <cell r="L43">
            <v>5253417</v>
          </cell>
        </row>
      </sheetData>
      <sheetData sheetId="2">
        <row r="8">
          <cell r="U8">
            <v>238800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40000</v>
          </cell>
        </row>
      </sheetData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3813.6850000000004</v>
          </cell>
        </row>
      </sheetData>
      <sheetData sheetId="1">
        <row r="26">
          <cell r="C26">
            <v>19</v>
          </cell>
          <cell r="O26">
            <v>18004723.024703998</v>
          </cell>
          <cell r="P26">
            <v>754131.9499999996</v>
          </cell>
        </row>
        <row r="40">
          <cell r="L40">
            <v>30712284</v>
          </cell>
        </row>
      </sheetData>
      <sheetData sheetId="2">
        <row r="8">
          <cell r="U8">
            <v>154195.07999999999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4">
          <cell r="C24">
            <v>45000</v>
          </cell>
        </row>
      </sheetData>
      <sheetData sheetId="1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  <sheetName val="Лист1"/>
    </sheetNames>
    <sheetDataSet>
      <sheetData sheetId="0">
        <row r="34">
          <cell r="D34">
            <v>450.40299999999996</v>
          </cell>
        </row>
      </sheetData>
      <sheetData sheetId="1">
        <row r="14">
          <cell r="U14">
            <v>259359.96</v>
          </cell>
        </row>
      </sheetData>
      <sheetData sheetId="2">
        <row r="16">
          <cell r="C16">
            <v>4.5</v>
          </cell>
          <cell r="O16">
            <v>4365969.1725083869</v>
          </cell>
          <cell r="P16">
            <v>162003.12439999997</v>
          </cell>
        </row>
        <row r="30">
          <cell r="L30">
            <v>7273962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100000</v>
          </cell>
        </row>
      </sheetData>
      <sheetData sheetId="12"/>
      <sheetData sheetId="1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1210.0940000000001</v>
          </cell>
        </row>
      </sheetData>
      <sheetData sheetId="1">
        <row r="31">
          <cell r="C31">
            <v>16</v>
          </cell>
          <cell r="O31">
            <v>14395713.085550833</v>
          </cell>
          <cell r="P31">
            <v>809658.91100000008</v>
          </cell>
        </row>
        <row r="45">
          <cell r="L45">
            <v>25862976</v>
          </cell>
        </row>
      </sheetData>
      <sheetData sheetId="2">
        <row r="8">
          <cell r="U8">
            <v>128819.4816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500000</v>
          </cell>
        </row>
      </sheetData>
      <sheetData sheetId="1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содержание 225-770"/>
      <sheetName val="Содержание имущества 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275.8</v>
          </cell>
        </row>
      </sheetData>
      <sheetData sheetId="1">
        <row r="28">
          <cell r="C28">
            <v>3</v>
          </cell>
          <cell r="O28">
            <v>2706107.4749175208</v>
          </cell>
          <cell r="P28">
            <v>116671.96580000001</v>
          </cell>
        </row>
        <row r="42">
          <cell r="L42">
            <v>4352040</v>
          </cell>
        </row>
      </sheetData>
      <sheetData sheetId="2">
        <row r="8">
          <cell r="U8">
            <v>143874.74400000001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30000</v>
          </cell>
        </row>
      </sheetData>
      <sheetData sheetId="1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211"/>
      <sheetName val="Связь221"/>
      <sheetName val="Материальные запасы346,349"/>
      <sheetName val="Основные средства"/>
      <sheetName val="Транспортные услуги222"/>
      <sheetName val="Прочие услуги,работы226"/>
      <sheetName val="услуги,работы 225-770"/>
      <sheetName val="Содержание имущества225-055"/>
      <sheetName val="Командировочные расходы212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2">
          <cell r="D22">
            <v>42000</v>
          </cell>
        </row>
        <row r="25">
          <cell r="D25">
            <v>493072.05984</v>
          </cell>
        </row>
        <row r="26">
          <cell r="D26">
            <v>396444</v>
          </cell>
        </row>
        <row r="29">
          <cell r="D29">
            <v>149657.78000000003</v>
          </cell>
        </row>
        <row r="30">
          <cell r="D30">
            <v>460160</v>
          </cell>
        </row>
        <row r="32">
          <cell r="D32">
            <v>2523</v>
          </cell>
        </row>
        <row r="34">
          <cell r="D34">
            <v>2106060</v>
          </cell>
        </row>
        <row r="35">
          <cell r="D35">
            <v>405502</v>
          </cell>
        </row>
      </sheetData>
      <sheetData sheetId="1">
        <row r="22">
          <cell r="C22">
            <v>10.25</v>
          </cell>
          <cell r="O22">
            <v>9564381.2081530318</v>
          </cell>
          <cell r="P22">
            <v>417492.42600000004</v>
          </cell>
        </row>
        <row r="36">
          <cell r="L36">
            <v>16568469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245</v>
          </cell>
        </row>
      </sheetData>
      <sheetData sheetId="1">
        <row r="20">
          <cell r="C20">
            <v>10.75</v>
          </cell>
          <cell r="O20">
            <v>9484660.684008874</v>
          </cell>
          <cell r="P20">
            <v>442461.71880000003</v>
          </cell>
        </row>
        <row r="34">
          <cell r="L34">
            <v>17376687</v>
          </cell>
        </row>
      </sheetData>
      <sheetData sheetId="2">
        <row r="8">
          <cell r="U8">
            <v>371740.67354880006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2">
          <cell r="D22">
            <v>35000</v>
          </cell>
        </row>
        <row r="25">
          <cell r="D25">
            <v>312324.45984000002</v>
          </cell>
        </row>
        <row r="26">
          <cell r="D26">
            <v>216248.37</v>
          </cell>
        </row>
        <row r="29">
          <cell r="D29">
            <v>130540</v>
          </cell>
        </row>
        <row r="30">
          <cell r="D30">
            <v>346473.7</v>
          </cell>
        </row>
        <row r="32">
          <cell r="D32">
            <v>171363</v>
          </cell>
        </row>
        <row r="34">
          <cell r="D34">
            <v>1582910.0000000005</v>
          </cell>
        </row>
        <row r="35">
          <cell r="D35">
            <v>420663</v>
          </cell>
        </row>
      </sheetData>
      <sheetData sheetId="1">
        <row r="28">
          <cell r="C28">
            <v>8.25</v>
          </cell>
          <cell r="O28">
            <v>7544136.1395290699</v>
          </cell>
          <cell r="P28">
            <v>364432.70240000001</v>
          </cell>
        </row>
        <row r="42">
          <cell r="L42">
            <v>13335597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75000</v>
          </cell>
        </row>
      </sheetData>
      <sheetData sheetId="12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265.7</v>
          </cell>
        </row>
      </sheetData>
      <sheetData sheetId="1">
        <row r="29">
          <cell r="C29">
            <v>13.5</v>
          </cell>
          <cell r="O29">
            <v>12581144.999543251</v>
          </cell>
          <cell r="P29">
            <v>549770.20540000009</v>
          </cell>
        </row>
        <row r="43">
          <cell r="L43">
            <v>21821886</v>
          </cell>
        </row>
      </sheetData>
      <sheetData sheetId="2">
        <row r="8">
          <cell r="U8">
            <v>892716.39168000419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149.30000000000001</v>
          </cell>
        </row>
      </sheetData>
      <sheetData sheetId="1">
        <row r="25">
          <cell r="C25">
            <v>3</v>
          </cell>
          <cell r="O25">
            <v>2685859.3118129033</v>
          </cell>
          <cell r="P25">
            <v>139937.772</v>
          </cell>
        </row>
        <row r="39">
          <cell r="L39">
            <v>4849308</v>
          </cell>
        </row>
      </sheetData>
      <sheetData sheetId="2">
        <row r="8">
          <cell r="U8">
            <v>152373.28128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658.5</v>
          </cell>
        </row>
      </sheetData>
      <sheetData sheetId="1">
        <row r="22">
          <cell r="C22">
            <v>13</v>
          </cell>
          <cell r="O22">
            <v>11291064.370519741</v>
          </cell>
          <cell r="P22">
            <v>539217.70604000008</v>
          </cell>
        </row>
        <row r="36">
          <cell r="L36">
            <v>21013668</v>
          </cell>
        </row>
      </sheetData>
      <sheetData sheetId="2">
        <row r="8">
          <cell r="U8">
            <v>187814.52384000001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Усть-Кара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10">
          <cell r="E10">
            <v>412864.34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2">
          <cell r="F22">
            <v>815830.36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Пеша"/>
      <sheetName val="Январь 2024 г."/>
      <sheetName val="Февраль 2024г."/>
      <sheetName val="Март 2024г."/>
      <sheetName val="Апрель 2024г."/>
      <sheetName val="Май 2024г."/>
      <sheetName val="Июнь 2024г."/>
      <sheetName val="Июль 2024г."/>
      <sheetName val="свод"/>
    </sheetNames>
    <sheetDataSet>
      <sheetData sheetId="0">
        <row r="254">
          <cell r="E254">
            <v>7277502.7999999998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G24">
            <v>4228905.24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233">
          <cell r="E233">
            <v>5266322.4800000004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4">
          <cell r="G24">
            <v>3102972.14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г."/>
      <sheetName val="Январь 2024г."/>
      <sheetName val="Февраль 2024г."/>
      <sheetName val="Март 2024г."/>
      <sheetName val="Апрель 2024г."/>
      <sheetName val="Май 2024г."/>
      <sheetName val="Июнь 2024г."/>
      <sheetName val="Июль 2024г."/>
      <sheetName val="свод"/>
    </sheetNames>
    <sheetDataSet>
      <sheetData sheetId="0">
        <row r="251">
          <cell r="E251">
            <v>6141541.2000000002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5">
          <cell r="G25">
            <v>3858067.94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Несь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241">
          <cell r="E241">
            <v>6220334.3200000003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3445102.05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Индига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192">
          <cell r="E192">
            <v>4030516.36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G21">
            <v>3114595.02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328">
          <cell r="E328">
            <v>8201883.6699999999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G23">
            <v>5169794.87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2028.8990000000001</v>
          </cell>
        </row>
      </sheetData>
      <sheetData sheetId="1">
        <row r="29">
          <cell r="C29">
            <v>9</v>
          </cell>
          <cell r="O29">
            <v>8625282.9479924198</v>
          </cell>
          <cell r="P29">
            <v>395347.05340000003</v>
          </cell>
        </row>
        <row r="43">
          <cell r="L43">
            <v>14547924</v>
          </cell>
        </row>
      </sheetData>
      <sheetData sheetId="2">
        <row r="8">
          <cell r="U8">
            <v>398932.29916480003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7">
          <cell r="B17">
            <v>60000</v>
          </cell>
        </row>
      </sheetData>
      <sheetData sheetId="1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72">
          <cell r="E72">
            <v>1248398.49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3">
          <cell r="F23">
            <v>647644.85999999987</v>
          </cell>
        </row>
      </sheetData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65">
          <cell r="E65">
            <v>1120891.9099999999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979701.75999999989</v>
          </cell>
        </row>
      </sheetData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."/>
      <sheetName val="май"/>
      <sheetName val="июнь"/>
      <sheetName val="июль"/>
      <sheetName val="свод"/>
    </sheetNames>
    <sheetDataSet>
      <sheetData sheetId="0">
        <row r="76">
          <cell r="E76">
            <v>1731363.92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F19">
            <v>1064075.05</v>
          </cell>
        </row>
      </sheetData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124">
          <cell r="E124">
            <v>3791856.08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2341809.39</v>
          </cell>
        </row>
      </sheetData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305">
          <cell r="E305">
            <v>8353745.8600000003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7">
          <cell r="F17">
            <v>4506849.8899999997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."/>
      <sheetName val="фев."/>
      <sheetName val="март"/>
      <sheetName val="апр."/>
      <sheetName val="май"/>
      <sheetName val="июнь"/>
      <sheetName val="июль"/>
      <sheetName val="свод"/>
    </sheetNames>
    <sheetDataSet>
      <sheetData sheetId="0">
        <row r="56">
          <cell r="E56">
            <v>1913049.05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G19">
            <v>983925.91</v>
          </cell>
        </row>
      </sheetData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г. Хорей-Вер"/>
      <sheetName val="Январь 2024"/>
      <sheetName val="Февраль 2024"/>
      <sheetName val="Март 2024"/>
      <sheetName val="Апрель 2024"/>
      <sheetName val="Май 2024"/>
      <sheetName val="Июнь 2024"/>
      <sheetName val="Июль 2024"/>
      <sheetName val="свод"/>
    </sheetNames>
    <sheetDataSet>
      <sheetData sheetId="0">
        <row r="88">
          <cell r="E88">
            <v>1640765.37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2">
          <cell r="H22">
            <v>917882.33000000007</v>
          </cell>
        </row>
      </sheetData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578">
          <cell r="E578">
            <v>13296052.32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G18">
            <v>7709289.6299999999</v>
          </cell>
        </row>
      </sheetData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"/>
      <sheetName val="янв"/>
      <sheetName val="фев"/>
      <sheetName val="март"/>
      <sheetName val="апр"/>
      <sheetName val="май"/>
      <sheetName val="июнь"/>
      <sheetName val="июль"/>
      <sheetName val="свод"/>
    </sheetNames>
    <sheetDataSet>
      <sheetData sheetId="0">
        <row r="130">
          <cell r="E130">
            <v>3244100.54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F19">
            <v>1514093.4300000002</v>
          </cell>
        </row>
      </sheetData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г."/>
      <sheetName val="Январь 2024г."/>
      <sheetName val="Февраль 2024г."/>
      <sheetName val="Март 2024г."/>
      <sheetName val="Апрель 2024г."/>
      <sheetName val="Май 2024г."/>
      <sheetName val="Июнь 2024г."/>
      <sheetName val="Июль 2024г."/>
      <sheetName val="свод"/>
    </sheetNames>
    <sheetDataSet>
      <sheetData sheetId="0">
        <row r="343">
          <cell r="E343">
            <v>10025770.609999999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1">
          <cell r="F21">
            <v>6371338.8199999994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9927.1224028088745</v>
          </cell>
        </row>
        <row r="22">
          <cell r="D22">
            <v>36.4</v>
          </cell>
        </row>
        <row r="26">
          <cell r="D26">
            <v>230.4</v>
          </cell>
        </row>
        <row r="29">
          <cell r="D29">
            <v>142.05152000000001</v>
          </cell>
        </row>
        <row r="30">
          <cell r="D30">
            <v>287.83999999999997</v>
          </cell>
        </row>
        <row r="32">
          <cell r="D32">
            <v>10.023</v>
          </cell>
        </row>
        <row r="35">
          <cell r="D35">
            <v>217.46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B17">
            <v>100000</v>
          </cell>
        </row>
      </sheetData>
      <sheetData sheetId="1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г."/>
      <sheetName val="Январь 2024г."/>
      <sheetName val="Февраль 2024г."/>
      <sheetName val="Март 2024г."/>
      <sheetName val="Апрель 2024г."/>
      <sheetName val="Май 2024г."/>
      <sheetName val="Июнь 2024."/>
      <sheetName val="Июль 2024г."/>
      <sheetName val="свод"/>
    </sheetNames>
    <sheetDataSet>
      <sheetData sheetId="0">
        <row r="95">
          <cell r="E95">
            <v>1889059.41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15">
          <cell r="H15">
            <v>901269.17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9020.630001392421</v>
          </cell>
        </row>
        <row r="22">
          <cell r="D22">
            <v>34.299999999999997</v>
          </cell>
        </row>
        <row r="26">
          <cell r="D26">
            <v>178.24</v>
          </cell>
        </row>
        <row r="29">
          <cell r="D29">
            <v>312.79000000000002</v>
          </cell>
        </row>
        <row r="30">
          <cell r="D30">
            <v>331.5</v>
          </cell>
        </row>
        <row r="32">
          <cell r="D32">
            <v>0</v>
          </cell>
        </row>
        <row r="35">
          <cell r="D35">
            <v>383.9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7348.9832005049038</v>
          </cell>
        </row>
        <row r="22">
          <cell r="D22">
            <v>42.7</v>
          </cell>
        </row>
        <row r="26">
          <cell r="D26">
            <v>280</v>
          </cell>
        </row>
        <row r="29">
          <cell r="D29">
            <v>768.36882534720007</v>
          </cell>
        </row>
        <row r="30">
          <cell r="D30">
            <v>456.38</v>
          </cell>
        </row>
        <row r="32">
          <cell r="D32">
            <v>170.108</v>
          </cell>
        </row>
        <row r="35">
          <cell r="D35">
            <v>448.185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1647.7739102442104</v>
          </cell>
        </row>
        <row r="22">
          <cell r="D22">
            <v>11.2</v>
          </cell>
        </row>
        <row r="26">
          <cell r="D26">
            <v>90</v>
          </cell>
        </row>
        <row r="29">
          <cell r="D29">
            <v>213.53039999999999</v>
          </cell>
        </row>
        <row r="30">
          <cell r="D30">
            <v>104.6</v>
          </cell>
        </row>
        <row r="32">
          <cell r="D32">
            <v>0</v>
          </cell>
        </row>
        <row r="34">
          <cell r="D34">
            <v>0</v>
          </cell>
        </row>
        <row r="35">
          <cell r="D35">
            <v>64.8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3704.6525494358712</v>
          </cell>
        </row>
        <row r="22">
          <cell r="D22">
            <v>24.5</v>
          </cell>
        </row>
        <row r="26">
          <cell r="D26">
            <v>0</v>
          </cell>
        </row>
        <row r="29">
          <cell r="D29">
            <v>115.40423999999999</v>
          </cell>
        </row>
        <row r="30">
          <cell r="D30">
            <v>265.52</v>
          </cell>
        </row>
        <row r="32">
          <cell r="D32">
            <v>2.2440000000000002</v>
          </cell>
        </row>
        <row r="35">
          <cell r="D35">
            <v>55.445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3750.4869840225483</v>
          </cell>
        </row>
        <row r="22">
          <cell r="D22">
            <v>49000</v>
          </cell>
        </row>
        <row r="26">
          <cell r="D26">
            <v>160</v>
          </cell>
        </row>
        <row r="29">
          <cell r="D29">
            <v>185</v>
          </cell>
        </row>
        <row r="30">
          <cell r="D30">
            <v>504.52</v>
          </cell>
        </row>
        <row r="32">
          <cell r="D32">
            <v>0</v>
          </cell>
        </row>
        <row r="35">
          <cell r="D35">
            <v>940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211"/>
      <sheetName val="Связь221"/>
      <sheetName val="Материальные запасы346,349"/>
      <sheetName val="Основные средства"/>
      <sheetName val="Транспортные услуги222"/>
      <sheetName val="Прочие услуги,работы226"/>
      <sheetName val="услуги,работы 225-770"/>
      <sheetName val="Содержание имущества225-055"/>
      <sheetName val="Командировочные расходы212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2645.4271976232253</v>
          </cell>
        </row>
        <row r="22">
          <cell r="D22">
            <v>27.3</v>
          </cell>
        </row>
        <row r="26">
          <cell r="D26">
            <v>159.88</v>
          </cell>
        </row>
        <row r="29">
          <cell r="D29">
            <v>192.43518581040001</v>
          </cell>
        </row>
        <row r="30">
          <cell r="D30">
            <v>224.36</v>
          </cell>
        </row>
        <row r="32">
          <cell r="D32">
            <v>0</v>
          </cell>
        </row>
        <row r="35">
          <cell r="D35">
            <v>674.21500000000003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3501.8045447806448</v>
          </cell>
        </row>
        <row r="22">
          <cell r="D22">
            <v>22.4</v>
          </cell>
        </row>
        <row r="26">
          <cell r="D26">
            <v>0</v>
          </cell>
        </row>
        <row r="29">
          <cell r="D29">
            <v>821.55600112719992</v>
          </cell>
        </row>
        <row r="30">
          <cell r="D30">
            <v>234.839856</v>
          </cell>
        </row>
        <row r="32">
          <cell r="D32">
            <v>576.61900000000003</v>
          </cell>
        </row>
        <row r="35">
          <cell r="D35">
            <v>213.7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18758.854974703998</v>
          </cell>
        </row>
        <row r="22">
          <cell r="D22">
            <v>0</v>
          </cell>
        </row>
        <row r="26">
          <cell r="D26">
            <v>67.88045000000001</v>
          </cell>
        </row>
        <row r="29">
          <cell r="D29">
            <v>2042.5806699999998</v>
          </cell>
        </row>
        <row r="30">
          <cell r="D30">
            <v>228.38300000000001</v>
          </cell>
        </row>
        <row r="32">
          <cell r="D32">
            <v>107.92400000000001</v>
          </cell>
        </row>
        <row r="35">
          <cell r="D35">
            <v>1891.2395999999999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  <sheetName val="Лист1"/>
    </sheetNames>
    <sheetDataSet>
      <sheetData sheetId="0">
        <row r="21">
          <cell r="D21">
            <v>4527.9722969083869</v>
          </cell>
        </row>
        <row r="22">
          <cell r="D22">
            <v>30.8</v>
          </cell>
        </row>
        <row r="26">
          <cell r="D26">
            <v>160</v>
          </cell>
        </row>
        <row r="29">
          <cell r="D29">
            <v>634.7206799999999</v>
          </cell>
        </row>
        <row r="30">
          <cell r="D30">
            <v>327.64</v>
          </cell>
        </row>
        <row r="32">
          <cell r="D32">
            <v>3.6970000000000001</v>
          </cell>
        </row>
        <row r="35">
          <cell r="D35">
            <v>643.04999999999995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Связь"/>
      <sheetName val="оплата труда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954.37</v>
          </cell>
        </row>
      </sheetData>
      <sheetData sheetId="1">
        <row r="8">
          <cell r="U8">
            <v>295110.72687999997</v>
          </cell>
        </row>
      </sheetData>
      <sheetData sheetId="2">
        <row r="33">
          <cell r="C33">
            <v>7</v>
          </cell>
          <cell r="O33">
            <v>7063619.9145049034</v>
          </cell>
          <cell r="P33">
            <v>285363.28600000002</v>
          </cell>
        </row>
        <row r="47">
          <cell r="L47">
            <v>11315052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3">
          <cell r="C23">
            <v>70000</v>
          </cell>
        </row>
      </sheetData>
      <sheetData sheetId="1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15205.371996550834</v>
          </cell>
        </row>
        <row r="22">
          <cell r="D22">
            <v>42000</v>
          </cell>
        </row>
        <row r="26">
          <cell r="D26">
            <v>681.3</v>
          </cell>
        </row>
        <row r="29">
          <cell r="D29">
            <v>486.35599999999999</v>
          </cell>
        </row>
        <row r="30">
          <cell r="D30">
            <v>618.30600000000004</v>
          </cell>
        </row>
        <row r="32">
          <cell r="D32">
            <v>954.846</v>
          </cell>
        </row>
        <row r="35">
          <cell r="D35">
            <v>1836.2615000000001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содержание 225-770"/>
      <sheetName val="Содержание имущества 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2822.7794407175206</v>
          </cell>
        </row>
        <row r="22">
          <cell r="D22">
            <v>22.4</v>
          </cell>
        </row>
        <row r="26">
          <cell r="D26">
            <v>0</v>
          </cell>
        </row>
        <row r="29">
          <cell r="D29">
            <v>153.32468320000001</v>
          </cell>
        </row>
        <row r="30">
          <cell r="D30">
            <v>225.54</v>
          </cell>
        </row>
        <row r="32">
          <cell r="D32">
            <v>2313.944</v>
          </cell>
        </row>
        <row r="35">
          <cell r="D35">
            <v>188.35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К"/>
      <sheetName val="Льготный проезд ДК"/>
      <sheetName val="Библиотека"/>
      <sheetName val="Выплаты на Селе"/>
      <sheetName val="Лист2"/>
      <sheetName val="Лист3"/>
    </sheetNames>
    <sheetDataSet>
      <sheetData sheetId="0" refreshError="1"/>
      <sheetData sheetId="1">
        <row r="12">
          <cell r="V12">
            <v>359520</v>
          </cell>
        </row>
        <row r="14">
          <cell r="V14">
            <v>299610</v>
          </cell>
        </row>
        <row r="15">
          <cell r="V15">
            <v>656640</v>
          </cell>
        </row>
      </sheetData>
      <sheetData sheetId="2" refreshError="1"/>
      <sheetData sheetId="3">
        <row r="11">
          <cell r="L11">
            <v>160320</v>
          </cell>
        </row>
        <row r="13">
          <cell r="L13">
            <v>141120</v>
          </cell>
        </row>
        <row r="14">
          <cell r="L14">
            <v>560160</v>
          </cell>
        </row>
      </sheetData>
      <sheetData sheetId="4" refreshError="1"/>
      <sheetData sheetId="5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ьготный проезд"/>
      <sheetName val="коммунальные услуги"/>
      <sheetName val="СЕЛО выплата спец на селе"/>
      <sheetName val="ремонты"/>
      <sheetName val="ОС КРАСНОЕ"/>
      <sheetName val="ОС ТЕЛЬВИСКА"/>
      <sheetName val="ОС Бугрино"/>
      <sheetName val="ОС ХОРЕЙ-ВЕР"/>
      <sheetName val="ОС Великовисочное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У-К"/>
      <sheetName val="ОС ОМА"/>
      <sheetName val="ОС НЕСЬ"/>
      <sheetName val="ОС Амдерма"/>
      <sheetName val="ОС Каратайка"/>
      <sheetName val="расчет по часам к охране"/>
    </sheetNames>
    <sheetDataSet>
      <sheetData sheetId="0">
        <row r="58">
          <cell r="V58">
            <v>183.5</v>
          </cell>
        </row>
        <row r="60">
          <cell r="V60">
            <v>255.9</v>
          </cell>
        </row>
        <row r="61">
          <cell r="V61">
            <v>645.70000000000005</v>
          </cell>
        </row>
        <row r="62">
          <cell r="V62">
            <v>49.7</v>
          </cell>
        </row>
        <row r="64">
          <cell r="V64">
            <v>425.2</v>
          </cell>
        </row>
        <row r="67">
          <cell r="V67">
            <v>543.1</v>
          </cell>
        </row>
        <row r="68">
          <cell r="V68">
            <v>395.4</v>
          </cell>
        </row>
        <row r="69">
          <cell r="V69">
            <v>495</v>
          </cell>
        </row>
        <row r="70">
          <cell r="V70">
            <v>113.9</v>
          </cell>
        </row>
        <row r="71">
          <cell r="V71">
            <v>323.60000000000002</v>
          </cell>
        </row>
        <row r="72">
          <cell r="V72">
            <v>121.4</v>
          </cell>
        </row>
        <row r="73">
          <cell r="V73">
            <v>124.3</v>
          </cell>
        </row>
        <row r="74">
          <cell r="V74">
            <v>577.1</v>
          </cell>
        </row>
        <row r="75">
          <cell r="V75">
            <v>585</v>
          </cell>
        </row>
      </sheetData>
      <sheetData sheetId="1" refreshError="1"/>
      <sheetData sheetId="2">
        <row r="8">
          <cell r="L8">
            <v>160.30000000000001</v>
          </cell>
        </row>
        <row r="9">
          <cell r="L9">
            <v>120.5</v>
          </cell>
        </row>
        <row r="10">
          <cell r="L10">
            <v>281.3</v>
          </cell>
        </row>
        <row r="11">
          <cell r="L11">
            <v>382.1</v>
          </cell>
        </row>
        <row r="12">
          <cell r="L12">
            <v>320.60000000000002</v>
          </cell>
        </row>
        <row r="14">
          <cell r="L14">
            <v>160.30000000000001</v>
          </cell>
        </row>
        <row r="17">
          <cell r="L17">
            <v>240.5</v>
          </cell>
        </row>
        <row r="18">
          <cell r="L18">
            <v>161.30000000000001</v>
          </cell>
        </row>
        <row r="19">
          <cell r="L19">
            <v>742.1</v>
          </cell>
        </row>
        <row r="20">
          <cell r="L20">
            <v>200.6</v>
          </cell>
        </row>
        <row r="21">
          <cell r="L21">
            <v>80.599999999999994</v>
          </cell>
        </row>
        <row r="22">
          <cell r="L22">
            <v>60.5</v>
          </cell>
        </row>
        <row r="23">
          <cell r="L23">
            <v>120.5</v>
          </cell>
        </row>
        <row r="24">
          <cell r="L24">
            <v>160.80000000000001</v>
          </cell>
        </row>
      </sheetData>
      <sheetData sheetId="3">
        <row r="5">
          <cell r="L5">
            <v>400</v>
          </cell>
        </row>
        <row r="6">
          <cell r="L6">
            <v>1486</v>
          </cell>
        </row>
        <row r="7">
          <cell r="L7">
            <v>5726.3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ЛО выплата спец на селе"/>
      <sheetName val="льготный проезд"/>
      <sheetName val="коммунальные услуги"/>
      <sheetName val="ремонты"/>
      <sheetName val="ОС КРАСНОЕ"/>
      <sheetName val="ОС ТЕЛЬВИСКА"/>
      <sheetName val="ОС Бугрино"/>
      <sheetName val="ОС ХОРЕЙ-ВЕР"/>
      <sheetName val="ОС Великовисочное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У-К"/>
      <sheetName val="ОС ОМА"/>
      <sheetName val="ОС НЕСЬ"/>
      <sheetName val="ОС Амдерма"/>
      <sheetName val="ОС Каратайка"/>
      <sheetName val="расчет по часам к охране"/>
    </sheetNames>
    <sheetDataSet>
      <sheetData sheetId="0" refreshError="1"/>
      <sheetData sheetId="1">
        <row r="59">
          <cell r="V59">
            <v>135</v>
          </cell>
        </row>
      </sheetData>
      <sheetData sheetId="2" refreshError="1"/>
      <sheetData sheetId="3">
        <row r="4">
          <cell r="L4">
            <v>11680.7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"/>
      <sheetName val="Тран.усл.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О ОЗП"/>
      <sheetName val="Внебюджет"/>
      <sheetName val="налог на имущество и земельный"/>
      <sheetName val="Основные средства"/>
      <sheetName val="Транспортные услуги"/>
      <sheetName val="Техническое обслуживание ОЗП"/>
    </sheetNames>
    <sheetDataSet>
      <sheetData sheetId="0">
        <row r="21">
          <cell r="D21">
            <v>2006.621701876129</v>
          </cell>
        </row>
        <row r="26">
          <cell r="D26">
            <v>0</v>
          </cell>
        </row>
      </sheetData>
      <sheetData sheetId="1" refreshError="1"/>
      <sheetData sheetId="2" refreshError="1"/>
      <sheetData sheetId="3" refreshError="1"/>
      <sheetData sheetId="4"/>
      <sheetData sheetId="5">
        <row r="8">
          <cell r="E8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>
        <row r="12">
          <cell r="V12">
            <v>22478.123200000002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ЛО выплата спец на селе"/>
      <sheetName val="льготный проезд"/>
      <sheetName val="КУ ДК"/>
      <sheetName val="Факт СЖКС ЭЭ"/>
      <sheetName val="Факт СЖКС ТЭ"/>
      <sheetName val="Факт СЖКС ТКО"/>
      <sheetName val="Факт СЖКС ТвТ"/>
      <sheetName val="Факт СЖКС ХВ"/>
      <sheetName val="КУ Библио"/>
      <sheetName val="ТАРИФЫ 2025"/>
      <sheetName val="Вопросы"/>
      <sheetName val="ремонты"/>
      <sheetName val="ОС КРАСНОЕ"/>
      <sheetName val="ОС ТЕЛЬВИСКА"/>
      <sheetName val="ОС Бугрино"/>
      <sheetName val="ОС ХОРЕЙ-ВЕР"/>
      <sheetName val="ОС Великовисочное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У-К"/>
      <sheetName val="ОС ОМА"/>
      <sheetName val="ОС НЕСЬ"/>
      <sheetName val="ОС Амдерма"/>
      <sheetName val="ОС Каратайка"/>
      <sheetName val="расчет по часам к охране"/>
    </sheetNames>
    <sheetDataSet>
      <sheetData sheetId="0"/>
      <sheetData sheetId="1"/>
      <sheetData sheetId="2">
        <row r="26">
          <cell r="H26">
            <v>115535.77</v>
          </cell>
          <cell r="M26">
            <v>4473309.51</v>
          </cell>
          <cell r="AT26">
            <v>71203.240000000005</v>
          </cell>
        </row>
        <row r="36">
          <cell r="H36">
            <v>2279247</v>
          </cell>
          <cell r="M36">
            <v>3323480.57</v>
          </cell>
          <cell r="AT36">
            <v>303730.45</v>
          </cell>
        </row>
        <row r="41">
          <cell r="H41">
            <v>139022.6</v>
          </cell>
          <cell r="M41">
            <v>10984958.92</v>
          </cell>
          <cell r="AT41">
            <v>157645.56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ЭЭ - уличное"/>
      <sheetName val="Теплоэн"/>
      <sheetName val="ТКО"/>
      <sheetName val="КУ"/>
      <sheetName val="Лист1"/>
      <sheetName val="Омский"/>
      <sheetName val="Колгуевский"/>
    </sheetNames>
    <sheetDataSet>
      <sheetData sheetId="0">
        <row r="13">
          <cell r="O13">
            <v>1347021</v>
          </cell>
        </row>
        <row r="16">
          <cell r="O16">
            <v>277883</v>
          </cell>
        </row>
        <row r="19">
          <cell r="O19">
            <v>1085581</v>
          </cell>
        </row>
        <row r="22">
          <cell r="O22">
            <v>493970</v>
          </cell>
        </row>
        <row r="29">
          <cell r="O29">
            <v>212127</v>
          </cell>
        </row>
        <row r="31">
          <cell r="O31">
            <v>463676</v>
          </cell>
        </row>
        <row r="47">
          <cell r="O47">
            <v>243197</v>
          </cell>
        </row>
        <row r="48">
          <cell r="O48">
            <v>71230</v>
          </cell>
        </row>
        <row r="51">
          <cell r="O51">
            <v>1009689</v>
          </cell>
        </row>
        <row r="54">
          <cell r="O54">
            <v>170694</v>
          </cell>
        </row>
        <row r="55">
          <cell r="O55">
            <v>124222</v>
          </cell>
        </row>
        <row r="57">
          <cell r="O57">
            <v>1078183</v>
          </cell>
        </row>
        <row r="59">
          <cell r="O59">
            <v>510554</v>
          </cell>
        </row>
        <row r="62">
          <cell r="O62">
            <v>620501</v>
          </cell>
        </row>
        <row r="64">
          <cell r="O64">
            <v>500138</v>
          </cell>
        </row>
        <row r="66">
          <cell r="O66">
            <v>342788</v>
          </cell>
        </row>
        <row r="68">
          <cell r="O68">
            <v>467560</v>
          </cell>
        </row>
      </sheetData>
      <sheetData sheetId="1"/>
      <sheetData sheetId="2">
        <row r="14">
          <cell r="O14">
            <v>3011360</v>
          </cell>
        </row>
        <row r="17">
          <cell r="O17">
            <v>8847289</v>
          </cell>
        </row>
        <row r="25">
          <cell r="O25">
            <v>2205125</v>
          </cell>
        </row>
        <row r="29">
          <cell r="O29">
            <v>6466104</v>
          </cell>
        </row>
        <row r="30">
          <cell r="O30">
            <v>1622040</v>
          </cell>
        </row>
        <row r="31">
          <cell r="O31">
            <v>2201124</v>
          </cell>
        </row>
        <row r="34">
          <cell r="O34">
            <v>1953487</v>
          </cell>
        </row>
        <row r="44">
          <cell r="O44">
            <v>9596172</v>
          </cell>
        </row>
        <row r="46">
          <cell r="O46">
            <v>3667446</v>
          </cell>
        </row>
        <row r="48">
          <cell r="O48">
            <v>2465816</v>
          </cell>
        </row>
        <row r="50">
          <cell r="O50">
            <v>4764072</v>
          </cell>
        </row>
        <row r="53">
          <cell r="O53">
            <v>6377283</v>
          </cell>
        </row>
        <row r="55">
          <cell r="O55">
            <v>2320072</v>
          </cell>
        </row>
        <row r="57">
          <cell r="O57">
            <v>2361930</v>
          </cell>
        </row>
        <row r="59">
          <cell r="O59">
            <v>6555612</v>
          </cell>
        </row>
        <row r="67">
          <cell r="O67">
            <v>1868279</v>
          </cell>
        </row>
      </sheetData>
      <sheetData sheetId="3">
        <row r="16">
          <cell r="O16">
            <v>19705.695</v>
          </cell>
        </row>
        <row r="24">
          <cell r="O24">
            <v>141244.4403111111</v>
          </cell>
        </row>
        <row r="29">
          <cell r="O29">
            <v>332204</v>
          </cell>
        </row>
        <row r="32">
          <cell r="O32">
            <v>87583</v>
          </cell>
        </row>
        <row r="38">
          <cell r="O38">
            <v>70033</v>
          </cell>
        </row>
        <row r="39">
          <cell r="O39">
            <v>26037</v>
          </cell>
        </row>
        <row r="41">
          <cell r="O41">
            <v>394114</v>
          </cell>
        </row>
        <row r="43">
          <cell r="O43">
            <v>93422</v>
          </cell>
        </row>
        <row r="46">
          <cell r="O46">
            <v>37485</v>
          </cell>
        </row>
        <row r="48">
          <cell r="O48">
            <v>9757</v>
          </cell>
        </row>
        <row r="50">
          <cell r="O50">
            <v>131371</v>
          </cell>
        </row>
        <row r="52">
          <cell r="O52">
            <v>195434</v>
          </cell>
        </row>
        <row r="60">
          <cell r="O60">
            <v>60993</v>
          </cell>
        </row>
      </sheetData>
      <sheetData sheetId="4">
        <row r="3">
          <cell r="N3">
            <v>26817.748814079998</v>
          </cell>
        </row>
        <row r="4">
          <cell r="N4">
            <v>998.33541076799997</v>
          </cell>
        </row>
        <row r="9">
          <cell r="I9">
            <v>11004.645312000001</v>
          </cell>
        </row>
        <row r="13">
          <cell r="I13">
            <v>8851.2775488000007</v>
          </cell>
        </row>
        <row r="18">
          <cell r="K18">
            <v>169924.78080000001</v>
          </cell>
        </row>
        <row r="21">
          <cell r="I21">
            <v>309961.84000000003</v>
          </cell>
        </row>
        <row r="28">
          <cell r="G28">
            <v>185324.90000000002</v>
          </cell>
        </row>
        <row r="45">
          <cell r="N45">
            <v>107204.53020000001</v>
          </cell>
        </row>
        <row r="46">
          <cell r="N46">
            <v>7658.4317199999996</v>
          </cell>
        </row>
        <row r="47">
          <cell r="N47">
            <v>30932.733659999998</v>
          </cell>
        </row>
        <row r="48">
          <cell r="N48">
            <v>21895.012599999998</v>
          </cell>
        </row>
      </sheetData>
      <sheetData sheetId="5"/>
      <sheetData sheetId="6"/>
      <sheetData sheetId="7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1"/>
      <sheetName val="СВОД 2"/>
      <sheetName val="Хорей-Вер"/>
      <sheetName val="Шойна"/>
      <sheetName val="Ома"/>
      <sheetName val="Верхняя Пёша"/>
      <sheetName val="Волоковая "/>
      <sheetName val="Нижняя Пёша"/>
      <sheetName val="ДК ХАРУТА"/>
      <sheetName val="ДК ТЕЛЬВИСКА"/>
      <sheetName val="ДК КОТКИНО"/>
      <sheetName val="ДК БУГРИНО"/>
      <sheetName val="ДК ВЕЛИКОВИСОЧНОЕ"/>
      <sheetName val="ДК ИНДИГА"/>
      <sheetName val="ДК НЕСЬ "/>
      <sheetName val="ДК ОКСИНО "/>
      <sheetName val="ДК УСТЬ-КАРА"/>
      <sheetName val="Красное"/>
      <sheetName val="Андег"/>
      <sheetName val="Амдерма"/>
    </sheetNames>
    <sheetDataSet>
      <sheetData sheetId="0">
        <row r="32">
          <cell r="R32">
            <v>1314600</v>
          </cell>
        </row>
        <row r="36">
          <cell r="R36">
            <v>1274700</v>
          </cell>
        </row>
        <row r="37">
          <cell r="R37">
            <v>893200</v>
          </cell>
        </row>
        <row r="38">
          <cell r="R38">
            <v>2050300</v>
          </cell>
        </row>
        <row r="39">
          <cell r="R39">
            <v>2591400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1"/>
      <sheetName val="СВОД 2"/>
      <sheetName val="Хорей-Вер"/>
      <sheetName val="Шойна"/>
      <sheetName val="Ома"/>
      <sheetName val="Верхняя Пёша"/>
      <sheetName val="Волоковая "/>
      <sheetName val="Нижняя Пёша"/>
      <sheetName val="ДК ХАРУТА"/>
      <sheetName val="ДК ТЕЛЬВИСКА"/>
      <sheetName val="ДК КОТКИНО"/>
      <sheetName val="ДК БУГРИНО"/>
      <sheetName val="ДК ВЕЛИКОВИСОЧНОЕ"/>
      <sheetName val="ДК ИНДИГА"/>
      <sheetName val="ДК НЕСЬ "/>
      <sheetName val="ДК ОКСИНО "/>
      <sheetName val="ДК УСТЬ-КАРА"/>
      <sheetName val="Красное"/>
      <sheetName val="Андег"/>
      <sheetName val="Амдерма"/>
    </sheetNames>
    <sheetDataSet>
      <sheetData sheetId="0">
        <row r="27">
          <cell r="Z27">
            <v>1303.4000000000001</v>
          </cell>
        </row>
        <row r="28">
          <cell r="Z28">
            <v>2262.4</v>
          </cell>
        </row>
        <row r="29">
          <cell r="Z29">
            <v>1752.8</v>
          </cell>
        </row>
        <row r="30">
          <cell r="Z30">
            <v>1976.8</v>
          </cell>
        </row>
        <row r="31">
          <cell r="Z31">
            <v>1736</v>
          </cell>
        </row>
        <row r="33">
          <cell r="Z33">
            <v>1295</v>
          </cell>
        </row>
        <row r="34">
          <cell r="Z34">
            <v>2433.1999999999998</v>
          </cell>
        </row>
        <row r="35">
          <cell r="Z35">
            <v>1876.7</v>
          </cell>
        </row>
        <row r="40">
          <cell r="Z40">
            <v>1827</v>
          </cell>
        </row>
        <row r="41">
          <cell r="Z41">
            <v>1083.5999999999999</v>
          </cell>
        </row>
        <row r="43">
          <cell r="Z43">
            <v>1606.5</v>
          </cell>
        </row>
        <row r="44">
          <cell r="Z44">
            <v>1318.8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13130.915204943251</v>
          </cell>
        </row>
        <row r="22">
          <cell r="D22">
            <v>74.2</v>
          </cell>
        </row>
        <row r="26">
          <cell r="D26">
            <v>231.4</v>
          </cell>
        </row>
        <row r="29">
          <cell r="D29">
            <v>541.09353119999992</v>
          </cell>
        </row>
        <row r="30">
          <cell r="D30">
            <v>382.74</v>
          </cell>
        </row>
        <row r="32">
          <cell r="D32">
            <v>892.35900000000004</v>
          </cell>
        </row>
        <row r="35">
          <cell r="D35">
            <v>316.67907000000002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B17">
            <v>100000</v>
          </cell>
        </row>
      </sheetData>
      <sheetData sheetId="12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иные 2025"/>
      <sheetName val="льготный проезд"/>
      <sheetName val="коммунальные услуги"/>
      <sheetName val="выплата спец на селе"/>
      <sheetName val="выплата за стаж"/>
      <sheetName val="ОС СВОД"/>
      <sheetName val="ОС КРАСНОЕ"/>
      <sheetName val="ОС АРКТИКА"/>
      <sheetName val="ОС ТЕЛЬВИСКА"/>
      <sheetName val="ОС Бугрино"/>
      <sheetName val="ОС ХОРЕЙ-ВЕР"/>
      <sheetName val="ОС Великовисочное"/>
      <sheetName val="ОС ДИРЕКЦИЯ"/>
      <sheetName val="ОС Созвездие"/>
      <sheetName val="ОС ШОЙНА"/>
      <sheetName val="ОС ИНДИГА"/>
      <sheetName val="ОС ОКСИНО"/>
      <sheetName val="ОС ПЕША"/>
      <sheetName val="ОС КОТКИНО"/>
      <sheetName val="ОС ХАРУТА"/>
      <sheetName val="ОС ЭКЦ"/>
      <sheetName val="ОС У-К"/>
      <sheetName val="ОС ОМА"/>
      <sheetName val="ОС НЕСЬ"/>
      <sheetName val="ОС БИБЛИОТЕКА"/>
      <sheetName val="ОС Амдерма"/>
      <sheetName val="ОС Каратайка"/>
      <sheetName val="ОС Музей"/>
      <sheetName val="ремонты"/>
      <sheetName val="антитер"/>
      <sheetName val="расчет по часам к антитеру"/>
      <sheetName val="субсидии по культуре"/>
    </sheetNames>
    <sheetDataSet>
      <sheetData sheetId="0" refreshError="1"/>
      <sheetData sheetId="1">
        <row r="20">
          <cell r="V20">
            <v>61.7</v>
          </cell>
        </row>
      </sheetData>
      <sheetData sheetId="2">
        <row r="84">
          <cell r="BT84">
            <v>69283.34</v>
          </cell>
        </row>
      </sheetData>
      <sheetData sheetId="3">
        <row r="8">
          <cell r="N8">
            <v>154.6</v>
          </cell>
        </row>
      </sheetData>
      <sheetData sheetId="4" refreshError="1"/>
      <sheetData sheetId="5">
        <row r="10">
          <cell r="D10">
            <v>2960</v>
          </cell>
        </row>
        <row r="11">
          <cell r="D11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8">
          <cell r="N8">
            <v>3823.5</v>
          </cell>
        </row>
      </sheetData>
      <sheetData sheetId="29" refreshError="1"/>
      <sheetData sheetId="30" refreshError="1"/>
      <sheetData sheetId="3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 refreshError="1"/>
      <sheetData sheetId="1">
        <row r="28">
          <cell r="C28">
            <v>2.5</v>
          </cell>
          <cell r="O28">
            <v>1537047.0082442104</v>
          </cell>
          <cell r="P28">
            <v>110726.902</v>
          </cell>
        </row>
        <row r="43">
          <cell r="L43">
            <v>4041090</v>
          </cell>
        </row>
      </sheetData>
      <sheetData sheetId="2">
        <row r="8">
          <cell r="U8">
            <v>257900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7">
          <cell r="C17">
            <v>0</v>
          </cell>
        </row>
      </sheetData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34">
          <cell r="D34">
            <v>2960</v>
          </cell>
        </row>
      </sheetData>
      <sheetData sheetId="1">
        <row r="28">
          <cell r="C28">
            <v>2.5</v>
          </cell>
          <cell r="O28">
            <v>3592930.987035871</v>
          </cell>
          <cell r="P28">
            <v>111721.5624</v>
          </cell>
        </row>
        <row r="42">
          <cell r="L42">
            <v>4041090</v>
          </cell>
        </row>
      </sheetData>
      <sheetData sheetId="2">
        <row r="8">
          <cell r="U8">
            <v>141858.144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0">
          <cell r="C30"/>
        </row>
      </sheetData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Оплата труда "/>
      <sheetName val="Связь"/>
      <sheetName val="Материальные запасы"/>
      <sheetName val="Основные средства"/>
      <sheetName val="Транспортные услуги"/>
      <sheetName val="Прочие услуги,работы"/>
      <sheetName val="услуги,работы 225-770"/>
      <sheetName val="Содержание имущества225-055"/>
      <sheetName val="Командировочные расходы"/>
      <sheetName val="Техническое обслуживание ОЗП"/>
      <sheetName val="Внебюджет"/>
      <sheetName val="налог на имущество и земельный"/>
    </sheetNames>
    <sheetDataSet>
      <sheetData sheetId="0">
        <row r="21">
          <cell r="D21">
            <v>2825.7970838129031</v>
          </cell>
        </row>
        <row r="22">
          <cell r="D22">
            <v>24.5</v>
          </cell>
        </row>
        <row r="26">
          <cell r="D26">
            <v>13</v>
          </cell>
        </row>
        <row r="29">
          <cell r="D29">
            <v>133.61600000000001</v>
          </cell>
        </row>
        <row r="30">
          <cell r="D30">
            <v>284.76</v>
          </cell>
        </row>
        <row r="32">
          <cell r="D32">
            <v>0</v>
          </cell>
        </row>
        <row r="35">
          <cell r="D35">
            <v>166.08500000000001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7">
          <cell r="B17">
            <v>10000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9"/>
  <sheetViews>
    <sheetView view="pageBreakPreview" zoomScale="90" zoomScaleNormal="90" zoomScaleSheetLayoutView="90" workbookViewId="0">
      <pane ySplit="5" topLeftCell="A9" activePane="bottomLeft" state="frozen"/>
      <selection pane="bottomLeft" activeCell="G7" sqref="G7"/>
    </sheetView>
  </sheetViews>
  <sheetFormatPr defaultRowHeight="15" x14ac:dyDescent="0.25"/>
  <cols>
    <col min="1" max="1" width="5.28515625" style="5" customWidth="1"/>
    <col min="2" max="2" width="35.5703125" style="5" customWidth="1"/>
    <col min="3" max="3" width="36.85546875" style="5" customWidth="1"/>
    <col min="4" max="4" width="11.5703125" style="5" customWidth="1"/>
    <col min="5" max="5" width="19.140625" style="5" customWidth="1"/>
    <col min="6" max="16" width="10.28515625" style="5" bestFit="1" customWidth="1"/>
    <col min="17" max="16384" width="9.140625" style="5"/>
  </cols>
  <sheetData>
    <row r="1" spans="2:16" ht="55.5" customHeight="1" x14ac:dyDescent="0.25">
      <c r="F1" s="4"/>
      <c r="L1" s="184" t="s">
        <v>187</v>
      </c>
      <c r="M1" s="184"/>
      <c r="N1" s="184"/>
      <c r="O1" s="184"/>
      <c r="P1" s="184"/>
    </row>
    <row r="2" spans="2:16" ht="31.5" customHeight="1" x14ac:dyDescent="0.25">
      <c r="B2" s="185" t="s">
        <v>186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</row>
    <row r="3" spans="2:16" ht="15.75" customHeight="1" x14ac:dyDescent="0.25"/>
    <row r="4" spans="2:16" ht="70.5" customHeight="1" x14ac:dyDescent="0.25">
      <c r="B4" s="183" t="s">
        <v>162</v>
      </c>
      <c r="C4" s="183" t="s">
        <v>161</v>
      </c>
      <c r="D4" s="183" t="s">
        <v>75</v>
      </c>
      <c r="E4" s="186" t="s">
        <v>169</v>
      </c>
      <c r="F4" s="183" t="s">
        <v>180</v>
      </c>
      <c r="G4" s="183"/>
      <c r="H4" s="183"/>
      <c r="I4" s="183"/>
      <c r="J4" s="183"/>
      <c r="K4" s="183"/>
      <c r="L4" s="183"/>
      <c r="M4" s="183"/>
      <c r="N4" s="183"/>
      <c r="O4" s="183"/>
      <c r="P4" s="183"/>
    </row>
    <row r="5" spans="2:16" x14ac:dyDescent="0.25">
      <c r="B5" s="183"/>
      <c r="C5" s="183"/>
      <c r="D5" s="183"/>
      <c r="E5" s="186"/>
      <c r="F5" s="59">
        <v>2025</v>
      </c>
      <c r="G5" s="73">
        <v>2026</v>
      </c>
      <c r="H5" s="73">
        <v>2027</v>
      </c>
      <c r="I5" s="73">
        <v>2028</v>
      </c>
      <c r="J5" s="73">
        <v>2029</v>
      </c>
      <c r="K5" s="73">
        <v>2030</v>
      </c>
      <c r="L5" s="74">
        <v>2031</v>
      </c>
      <c r="M5" s="74">
        <v>2032</v>
      </c>
      <c r="N5" s="74">
        <v>2033</v>
      </c>
      <c r="O5" s="74">
        <v>2034</v>
      </c>
      <c r="P5" s="74">
        <v>2035</v>
      </c>
    </row>
    <row r="6" spans="2:16" ht="34.5" customHeight="1" x14ac:dyDescent="0.25">
      <c r="B6" s="180" t="s">
        <v>325</v>
      </c>
      <c r="C6" s="156" t="s">
        <v>326</v>
      </c>
      <c r="D6" s="72" t="s">
        <v>179</v>
      </c>
      <c r="E6" s="72" t="s">
        <v>315</v>
      </c>
      <c r="F6" s="175">
        <v>36</v>
      </c>
      <c r="G6" s="175">
        <v>29</v>
      </c>
      <c r="H6" s="175">
        <v>29</v>
      </c>
      <c r="I6" s="175">
        <v>29</v>
      </c>
      <c r="J6" s="175">
        <v>29</v>
      </c>
      <c r="K6" s="175">
        <v>29</v>
      </c>
      <c r="L6" s="175">
        <v>29</v>
      </c>
      <c r="M6" s="175">
        <v>29</v>
      </c>
      <c r="N6" s="175">
        <v>29</v>
      </c>
      <c r="O6" s="175">
        <v>29</v>
      </c>
      <c r="P6" s="175">
        <v>29</v>
      </c>
    </row>
    <row r="7" spans="2:16" ht="65.25" customHeight="1" x14ac:dyDescent="0.25">
      <c r="B7" s="181"/>
      <c r="C7" s="145" t="s">
        <v>330</v>
      </c>
      <c r="D7" s="72" t="s">
        <v>179</v>
      </c>
      <c r="E7" s="72" t="s">
        <v>315</v>
      </c>
      <c r="F7" s="72">
        <v>1</v>
      </c>
      <c r="G7" s="146">
        <v>0</v>
      </c>
      <c r="H7" s="146">
        <v>0</v>
      </c>
      <c r="I7" s="146">
        <v>0</v>
      </c>
      <c r="J7" s="146">
        <v>0</v>
      </c>
      <c r="K7" s="146">
        <v>0</v>
      </c>
      <c r="L7" s="146">
        <v>0</v>
      </c>
      <c r="M7" s="146">
        <v>0</v>
      </c>
      <c r="N7" s="146">
        <v>0</v>
      </c>
      <c r="O7" s="146">
        <v>0</v>
      </c>
      <c r="P7" s="146">
        <v>0</v>
      </c>
    </row>
    <row r="8" spans="2:16" ht="43.5" customHeight="1" x14ac:dyDescent="0.25">
      <c r="B8" s="182"/>
      <c r="C8" s="145" t="s">
        <v>334</v>
      </c>
      <c r="D8" s="72" t="s">
        <v>179</v>
      </c>
      <c r="E8" s="72" t="s">
        <v>315</v>
      </c>
      <c r="F8" s="72">
        <v>1</v>
      </c>
      <c r="G8" s="72">
        <v>1</v>
      </c>
      <c r="H8" s="146">
        <v>0</v>
      </c>
      <c r="I8" s="146">
        <v>0</v>
      </c>
      <c r="J8" s="146">
        <v>0</v>
      </c>
      <c r="K8" s="146">
        <v>0</v>
      </c>
      <c r="L8" s="146">
        <v>0</v>
      </c>
      <c r="M8" s="146">
        <v>0</v>
      </c>
      <c r="N8" s="146">
        <v>0</v>
      </c>
      <c r="O8" s="146">
        <v>0</v>
      </c>
      <c r="P8" s="146">
        <v>0</v>
      </c>
    </row>
    <row r="9" spans="2:16" ht="90" x14ac:dyDescent="0.25">
      <c r="B9" s="149" t="s">
        <v>332</v>
      </c>
      <c r="C9" s="147" t="s">
        <v>329</v>
      </c>
      <c r="D9" s="148" t="s">
        <v>84</v>
      </c>
      <c r="E9" s="72" t="s">
        <v>315</v>
      </c>
      <c r="F9" s="150">
        <f>15/33</f>
        <v>0.45454545454545453</v>
      </c>
      <c r="G9" s="150">
        <f>15/33</f>
        <v>0.45454545454545453</v>
      </c>
      <c r="H9" s="150">
        <f>15/33</f>
        <v>0.45454545454545453</v>
      </c>
      <c r="I9" s="150">
        <f t="shared" ref="I9:P9" si="0">15/33</f>
        <v>0.45454545454545453</v>
      </c>
      <c r="J9" s="150">
        <f t="shared" si="0"/>
        <v>0.45454545454545453</v>
      </c>
      <c r="K9" s="150">
        <f t="shared" si="0"/>
        <v>0.45454545454545453</v>
      </c>
      <c r="L9" s="150">
        <f t="shared" si="0"/>
        <v>0.45454545454545453</v>
      </c>
      <c r="M9" s="150">
        <f t="shared" si="0"/>
        <v>0.45454545454545453</v>
      </c>
      <c r="N9" s="150">
        <f t="shared" si="0"/>
        <v>0.45454545454545453</v>
      </c>
      <c r="O9" s="150">
        <f t="shared" si="0"/>
        <v>0.45454545454545453</v>
      </c>
      <c r="P9" s="150">
        <f t="shared" si="0"/>
        <v>0.45454545454545453</v>
      </c>
    </row>
  </sheetData>
  <mergeCells count="8">
    <mergeCell ref="B6:B8"/>
    <mergeCell ref="F4:P4"/>
    <mergeCell ref="L1:P1"/>
    <mergeCell ref="B2:P2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61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Z34"/>
  <sheetViews>
    <sheetView tabSelected="1" view="pageBreakPreview" topLeftCell="A16" zoomScale="70" zoomScaleNormal="70" zoomScaleSheetLayoutView="70" workbookViewId="0">
      <selection activeCell="J31" sqref="J31"/>
    </sheetView>
  </sheetViews>
  <sheetFormatPr defaultColWidth="9.140625" defaultRowHeight="18.75" outlineLevelRow="2" x14ac:dyDescent="0.25"/>
  <cols>
    <col min="1" max="1" width="8.140625" style="65" customWidth="1"/>
    <col min="2" max="2" width="47.140625" style="65" customWidth="1"/>
    <col min="3" max="3" width="25.28515625" style="65" customWidth="1"/>
    <col min="4" max="4" width="25.140625" style="65" customWidth="1"/>
    <col min="5" max="5" width="17.5703125" style="68" customWidth="1"/>
    <col min="6" max="6" width="13.5703125" style="65" customWidth="1"/>
    <col min="7" max="7" width="16.85546875" style="65" customWidth="1" collapsed="1"/>
    <col min="8" max="8" width="14.28515625" style="65" customWidth="1"/>
    <col min="9" max="9" width="14.140625" style="68" customWidth="1"/>
    <col min="10" max="10" width="14.28515625" style="65" customWidth="1"/>
    <col min="11" max="11" width="13.85546875" style="65" customWidth="1"/>
    <col min="12" max="12" width="14.140625" style="67" customWidth="1"/>
    <col min="13" max="13" width="14.7109375" style="68" customWidth="1"/>
    <col min="14" max="14" width="12.7109375" style="65" customWidth="1"/>
    <col min="15" max="15" width="14.140625" style="65" customWidth="1"/>
    <col min="16" max="16" width="13.140625" style="67" customWidth="1"/>
    <col min="17" max="17" width="13.7109375" style="68" customWidth="1"/>
    <col min="18" max="18" width="13.140625" style="65" customWidth="1"/>
    <col min="19" max="19" width="14.140625" style="65" customWidth="1"/>
    <col min="20" max="20" width="13.85546875" style="67" customWidth="1"/>
    <col min="21" max="21" width="14" style="68" customWidth="1"/>
    <col min="22" max="22" width="12.85546875" style="65" customWidth="1"/>
    <col min="23" max="23" width="14.5703125" style="65" customWidth="1"/>
    <col min="24" max="24" width="13.28515625" style="67" customWidth="1"/>
    <col min="25" max="25" width="13.85546875" style="68" customWidth="1"/>
    <col min="26" max="26" width="13" style="65" customWidth="1"/>
    <col min="27" max="27" width="14.28515625" style="65" customWidth="1"/>
    <col min="28" max="28" width="13.42578125" style="67" customWidth="1"/>
    <col min="29" max="29" width="14.140625" style="68" customWidth="1"/>
    <col min="30" max="30" width="13" style="65" customWidth="1"/>
    <col min="31" max="31" width="14.140625" style="65" customWidth="1"/>
    <col min="32" max="32" width="13.7109375" style="67" customWidth="1"/>
    <col min="33" max="33" width="13.42578125" style="68" customWidth="1"/>
    <col min="34" max="34" width="13.7109375" style="65" customWidth="1"/>
    <col min="35" max="35" width="14" style="65" customWidth="1"/>
    <col min="36" max="36" width="13.140625" style="67" customWidth="1"/>
    <col min="37" max="37" width="14.140625" style="68" customWidth="1"/>
    <col min="38" max="38" width="13.28515625" style="65" customWidth="1"/>
    <col min="39" max="39" width="14.5703125" style="65" customWidth="1"/>
    <col min="40" max="40" width="14" style="67" customWidth="1"/>
    <col min="41" max="41" width="14" style="68" customWidth="1"/>
    <col min="42" max="42" width="12.85546875" style="65" customWidth="1"/>
    <col min="43" max="43" width="13.85546875" style="65" customWidth="1"/>
    <col min="44" max="44" width="13.7109375" style="67" customWidth="1"/>
    <col min="45" max="45" width="14.140625" style="68" customWidth="1"/>
    <col min="46" max="46" width="12.7109375" style="65" customWidth="1"/>
    <col min="47" max="47" width="14.140625" style="65" customWidth="1"/>
    <col min="48" max="48" width="13.7109375" style="67" customWidth="1"/>
    <col min="49" max="49" width="14.42578125" style="68" customWidth="1"/>
    <col min="50" max="50" width="13" style="65" customWidth="1"/>
    <col min="51" max="51" width="13.7109375" style="65" customWidth="1"/>
    <col min="52" max="52" width="13.85546875" style="67" customWidth="1"/>
    <col min="53" max="16384" width="9.140625" style="65"/>
  </cols>
  <sheetData>
    <row r="1" spans="1:52" s="60" customFormat="1" ht="94.5" customHeight="1" x14ac:dyDescent="0.25">
      <c r="B1" s="61"/>
      <c r="C1" s="62"/>
      <c r="D1" s="62"/>
      <c r="E1" s="63"/>
      <c r="F1" s="64"/>
      <c r="G1" s="64"/>
      <c r="H1" s="64"/>
      <c r="AV1" s="208" t="s">
        <v>324</v>
      </c>
      <c r="AW1" s="208"/>
      <c r="AX1" s="208"/>
      <c r="AY1" s="208"/>
      <c r="AZ1" s="208"/>
    </row>
    <row r="2" spans="1:52" ht="41.25" customHeight="1" x14ac:dyDescent="0.25">
      <c r="B2" s="66"/>
      <c r="C2" s="66"/>
      <c r="D2" s="66"/>
      <c r="E2" s="189" t="s">
        <v>188</v>
      </c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Y2" s="65"/>
      <c r="AC2" s="65"/>
      <c r="AG2" s="65"/>
      <c r="AK2" s="65"/>
      <c r="AO2" s="65"/>
      <c r="AS2" s="65"/>
      <c r="AW2" s="65"/>
    </row>
    <row r="4" spans="1:52" ht="15.75" customHeight="1" x14ac:dyDescent="0.25">
      <c r="A4" s="196" t="s">
        <v>2</v>
      </c>
      <c r="B4" s="196" t="s">
        <v>4</v>
      </c>
      <c r="C4" s="196" t="s">
        <v>70</v>
      </c>
      <c r="D4" s="196" t="s">
        <v>0</v>
      </c>
      <c r="E4" s="199" t="s">
        <v>189</v>
      </c>
      <c r="F4" s="200"/>
      <c r="G4" s="200"/>
      <c r="H4" s="201"/>
      <c r="I4" s="190"/>
      <c r="J4" s="190"/>
      <c r="K4" s="190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</row>
    <row r="5" spans="1:52" ht="15.75" customHeight="1" x14ac:dyDescent="0.25">
      <c r="A5" s="197"/>
      <c r="B5" s="197"/>
      <c r="C5" s="197"/>
      <c r="D5" s="197"/>
      <c r="E5" s="202"/>
      <c r="F5" s="203"/>
      <c r="G5" s="203"/>
      <c r="H5" s="204"/>
      <c r="I5" s="191" t="s">
        <v>170</v>
      </c>
      <c r="J5" s="192"/>
      <c r="K5" s="192"/>
      <c r="L5" s="193"/>
      <c r="M5" s="191" t="s">
        <v>171</v>
      </c>
      <c r="N5" s="192"/>
      <c r="O5" s="192"/>
      <c r="P5" s="193"/>
      <c r="Q5" s="191" t="s">
        <v>172</v>
      </c>
      <c r="R5" s="192"/>
      <c r="S5" s="192"/>
      <c r="T5" s="193"/>
      <c r="U5" s="191" t="s">
        <v>173</v>
      </c>
      <c r="V5" s="192"/>
      <c r="W5" s="192"/>
      <c r="X5" s="193"/>
      <c r="Y5" s="191" t="s">
        <v>174</v>
      </c>
      <c r="Z5" s="192"/>
      <c r="AA5" s="192"/>
      <c r="AB5" s="193"/>
      <c r="AC5" s="191" t="s">
        <v>175</v>
      </c>
      <c r="AD5" s="192"/>
      <c r="AE5" s="192"/>
      <c r="AF5" s="193"/>
      <c r="AG5" s="191" t="s">
        <v>181</v>
      </c>
      <c r="AH5" s="192"/>
      <c r="AI5" s="192"/>
      <c r="AJ5" s="193"/>
      <c r="AK5" s="191" t="s">
        <v>182</v>
      </c>
      <c r="AL5" s="192"/>
      <c r="AM5" s="192"/>
      <c r="AN5" s="193"/>
      <c r="AO5" s="191" t="s">
        <v>183</v>
      </c>
      <c r="AP5" s="192"/>
      <c r="AQ5" s="192"/>
      <c r="AR5" s="193"/>
      <c r="AS5" s="191" t="s">
        <v>184</v>
      </c>
      <c r="AT5" s="192"/>
      <c r="AU5" s="192"/>
      <c r="AV5" s="193"/>
      <c r="AW5" s="191" t="s">
        <v>185</v>
      </c>
      <c r="AX5" s="192"/>
      <c r="AY5" s="192"/>
      <c r="AZ5" s="193"/>
    </row>
    <row r="6" spans="1:52" x14ac:dyDescent="0.25">
      <c r="A6" s="197"/>
      <c r="B6" s="197"/>
      <c r="C6" s="197"/>
      <c r="D6" s="197"/>
      <c r="E6" s="194" t="s">
        <v>1</v>
      </c>
      <c r="F6" s="205" t="s">
        <v>3</v>
      </c>
      <c r="G6" s="206"/>
      <c r="H6" s="207"/>
      <c r="I6" s="194" t="s">
        <v>1</v>
      </c>
      <c r="J6" s="158"/>
      <c r="K6" s="158"/>
      <c r="L6" s="159"/>
      <c r="M6" s="194" t="s">
        <v>1</v>
      </c>
      <c r="N6" s="158"/>
      <c r="O6" s="158"/>
      <c r="P6" s="159"/>
      <c r="Q6" s="194" t="s">
        <v>1</v>
      </c>
      <c r="R6" s="158"/>
      <c r="S6" s="158"/>
      <c r="T6" s="159"/>
      <c r="U6" s="194" t="s">
        <v>1</v>
      </c>
      <c r="V6" s="158"/>
      <c r="W6" s="158"/>
      <c r="X6" s="159"/>
      <c r="Y6" s="194" t="s">
        <v>1</v>
      </c>
      <c r="Z6" s="158"/>
      <c r="AA6" s="158"/>
      <c r="AB6" s="159"/>
      <c r="AC6" s="194" t="s">
        <v>1</v>
      </c>
      <c r="AD6" s="158"/>
      <c r="AE6" s="158"/>
      <c r="AF6" s="159"/>
      <c r="AG6" s="194" t="s">
        <v>1</v>
      </c>
      <c r="AH6" s="158"/>
      <c r="AI6" s="158"/>
      <c r="AJ6" s="159"/>
      <c r="AK6" s="194" t="s">
        <v>1</v>
      </c>
      <c r="AL6" s="158"/>
      <c r="AM6" s="158"/>
      <c r="AN6" s="159"/>
      <c r="AO6" s="194" t="s">
        <v>1</v>
      </c>
      <c r="AP6" s="158"/>
      <c r="AQ6" s="158"/>
      <c r="AR6" s="159"/>
      <c r="AS6" s="194" t="s">
        <v>1</v>
      </c>
      <c r="AT6" s="158"/>
      <c r="AU6" s="158"/>
      <c r="AV6" s="159"/>
      <c r="AW6" s="194" t="s">
        <v>1</v>
      </c>
      <c r="AX6" s="158"/>
      <c r="AY6" s="158"/>
      <c r="AZ6" s="159"/>
    </row>
    <row r="7" spans="1:52" s="69" customFormat="1" ht="55.5" customHeight="1" x14ac:dyDescent="0.25">
      <c r="A7" s="198"/>
      <c r="B7" s="198"/>
      <c r="C7" s="198"/>
      <c r="D7" s="198"/>
      <c r="E7" s="195"/>
      <c r="F7" s="160" t="s">
        <v>25</v>
      </c>
      <c r="G7" s="160" t="s">
        <v>26</v>
      </c>
      <c r="H7" s="160" t="s">
        <v>27</v>
      </c>
      <c r="I7" s="195"/>
      <c r="J7" s="160" t="s">
        <v>25</v>
      </c>
      <c r="K7" s="160" t="s">
        <v>26</v>
      </c>
      <c r="L7" s="160" t="s">
        <v>27</v>
      </c>
      <c r="M7" s="195"/>
      <c r="N7" s="160" t="s">
        <v>25</v>
      </c>
      <c r="O7" s="160" t="s">
        <v>26</v>
      </c>
      <c r="P7" s="160" t="s">
        <v>27</v>
      </c>
      <c r="Q7" s="195"/>
      <c r="R7" s="160" t="s">
        <v>25</v>
      </c>
      <c r="S7" s="160" t="s">
        <v>26</v>
      </c>
      <c r="T7" s="160" t="s">
        <v>27</v>
      </c>
      <c r="U7" s="195"/>
      <c r="V7" s="160" t="s">
        <v>25</v>
      </c>
      <c r="W7" s="160" t="s">
        <v>26</v>
      </c>
      <c r="X7" s="160" t="s">
        <v>27</v>
      </c>
      <c r="Y7" s="195"/>
      <c r="Z7" s="160" t="s">
        <v>25</v>
      </c>
      <c r="AA7" s="160" t="s">
        <v>26</v>
      </c>
      <c r="AB7" s="160" t="s">
        <v>27</v>
      </c>
      <c r="AC7" s="195"/>
      <c r="AD7" s="160" t="s">
        <v>25</v>
      </c>
      <c r="AE7" s="160" t="s">
        <v>26</v>
      </c>
      <c r="AF7" s="160" t="s">
        <v>27</v>
      </c>
      <c r="AG7" s="195"/>
      <c r="AH7" s="160" t="s">
        <v>25</v>
      </c>
      <c r="AI7" s="160" t="s">
        <v>26</v>
      </c>
      <c r="AJ7" s="160" t="s">
        <v>27</v>
      </c>
      <c r="AK7" s="195"/>
      <c r="AL7" s="160" t="s">
        <v>25</v>
      </c>
      <c r="AM7" s="160" t="s">
        <v>26</v>
      </c>
      <c r="AN7" s="160" t="s">
        <v>27</v>
      </c>
      <c r="AO7" s="195"/>
      <c r="AP7" s="160" t="s">
        <v>25</v>
      </c>
      <c r="AQ7" s="160" t="s">
        <v>26</v>
      </c>
      <c r="AR7" s="160" t="s">
        <v>27</v>
      </c>
      <c r="AS7" s="195"/>
      <c r="AT7" s="160" t="s">
        <v>25</v>
      </c>
      <c r="AU7" s="160" t="s">
        <v>26</v>
      </c>
      <c r="AV7" s="160" t="s">
        <v>27</v>
      </c>
      <c r="AW7" s="195"/>
      <c r="AX7" s="160" t="s">
        <v>25</v>
      </c>
      <c r="AY7" s="160" t="s">
        <v>26</v>
      </c>
      <c r="AZ7" s="160" t="s">
        <v>27</v>
      </c>
    </row>
    <row r="8" spans="1:52" s="70" customFormat="1" x14ac:dyDescent="0.25">
      <c r="A8" s="161">
        <v>1</v>
      </c>
      <c r="B8" s="161">
        <v>2</v>
      </c>
      <c r="C8" s="161">
        <v>3</v>
      </c>
      <c r="D8" s="161">
        <v>4</v>
      </c>
      <c r="E8" s="161">
        <v>5</v>
      </c>
      <c r="F8" s="161">
        <v>6</v>
      </c>
      <c r="G8" s="161">
        <v>7</v>
      </c>
      <c r="H8" s="161">
        <v>8</v>
      </c>
      <c r="I8" s="161">
        <v>9</v>
      </c>
      <c r="J8" s="161">
        <v>10</v>
      </c>
      <c r="K8" s="161">
        <v>11</v>
      </c>
      <c r="L8" s="161">
        <v>12</v>
      </c>
      <c r="M8" s="161">
        <v>13</v>
      </c>
      <c r="N8" s="161">
        <v>14</v>
      </c>
      <c r="O8" s="161">
        <v>15</v>
      </c>
      <c r="P8" s="161">
        <v>16</v>
      </c>
      <c r="Q8" s="161">
        <v>17</v>
      </c>
      <c r="R8" s="161">
        <v>18</v>
      </c>
      <c r="S8" s="161">
        <v>19</v>
      </c>
      <c r="T8" s="161">
        <v>20</v>
      </c>
      <c r="U8" s="161">
        <v>21</v>
      </c>
      <c r="V8" s="161">
        <v>22</v>
      </c>
      <c r="W8" s="161">
        <v>23</v>
      </c>
      <c r="X8" s="161">
        <v>24</v>
      </c>
      <c r="Y8" s="161">
        <v>25</v>
      </c>
      <c r="Z8" s="161">
        <v>26</v>
      </c>
      <c r="AA8" s="161">
        <v>27</v>
      </c>
      <c r="AB8" s="161">
        <v>28</v>
      </c>
      <c r="AC8" s="161">
        <v>29</v>
      </c>
      <c r="AD8" s="161">
        <v>30</v>
      </c>
      <c r="AE8" s="161">
        <v>31</v>
      </c>
      <c r="AF8" s="161">
        <v>32</v>
      </c>
      <c r="AG8" s="161">
        <v>33</v>
      </c>
      <c r="AH8" s="161">
        <v>34</v>
      </c>
      <c r="AI8" s="161">
        <v>35</v>
      </c>
      <c r="AJ8" s="161">
        <v>36</v>
      </c>
      <c r="AK8" s="161">
        <v>37</v>
      </c>
      <c r="AL8" s="161">
        <v>38</v>
      </c>
      <c r="AM8" s="161">
        <v>39</v>
      </c>
      <c r="AN8" s="161">
        <v>40</v>
      </c>
      <c r="AO8" s="161">
        <v>41</v>
      </c>
      <c r="AP8" s="161">
        <v>42</v>
      </c>
      <c r="AQ8" s="161">
        <v>43</v>
      </c>
      <c r="AR8" s="161">
        <v>44</v>
      </c>
      <c r="AS8" s="161">
        <v>45</v>
      </c>
      <c r="AT8" s="161">
        <v>46</v>
      </c>
      <c r="AU8" s="161">
        <v>47</v>
      </c>
      <c r="AV8" s="161">
        <v>48</v>
      </c>
      <c r="AW8" s="161">
        <v>49</v>
      </c>
      <c r="AX8" s="161">
        <v>50</v>
      </c>
      <c r="AY8" s="161">
        <v>51</v>
      </c>
      <c r="AZ8" s="161">
        <v>52</v>
      </c>
    </row>
    <row r="9" spans="1:52" s="70" customFormat="1" ht="26.25" customHeight="1" outlineLevel="1" x14ac:dyDescent="0.25">
      <c r="A9" s="161"/>
      <c r="B9" s="187" t="s">
        <v>176</v>
      </c>
      <c r="C9" s="187"/>
      <c r="D9" s="187"/>
      <c r="E9" s="154">
        <f t="shared" ref="E9:AZ9" si="0">E10+E33</f>
        <v>129866.40000000002</v>
      </c>
      <c r="F9" s="154">
        <f t="shared" si="0"/>
        <v>0</v>
      </c>
      <c r="G9" s="154">
        <f t="shared" si="0"/>
        <v>129866.40000000002</v>
      </c>
      <c r="H9" s="154">
        <f t="shared" si="0"/>
        <v>0</v>
      </c>
      <c r="I9" s="154">
        <f t="shared" si="0"/>
        <v>12242.7</v>
      </c>
      <c r="J9" s="154">
        <f t="shared" si="0"/>
        <v>0</v>
      </c>
      <c r="K9" s="154">
        <f t="shared" si="0"/>
        <v>12242.7</v>
      </c>
      <c r="L9" s="154">
        <f t="shared" si="0"/>
        <v>0</v>
      </c>
      <c r="M9" s="154">
        <f t="shared" si="0"/>
        <v>11394.899999999996</v>
      </c>
      <c r="N9" s="154">
        <f t="shared" si="0"/>
        <v>0</v>
      </c>
      <c r="O9" s="154">
        <f t="shared" si="0"/>
        <v>11394.899999999996</v>
      </c>
      <c r="P9" s="154">
        <f t="shared" si="0"/>
        <v>0</v>
      </c>
      <c r="Q9" s="176">
        <f t="shared" si="0"/>
        <v>11803.199999999999</v>
      </c>
      <c r="R9" s="154">
        <f t="shared" si="0"/>
        <v>0</v>
      </c>
      <c r="S9" s="154">
        <f t="shared" si="0"/>
        <v>11803.199999999999</v>
      </c>
      <c r="T9" s="154">
        <f t="shared" si="0"/>
        <v>0</v>
      </c>
      <c r="U9" s="154">
        <f t="shared" si="0"/>
        <v>11803.199999999999</v>
      </c>
      <c r="V9" s="154">
        <f t="shared" si="0"/>
        <v>0</v>
      </c>
      <c r="W9" s="154">
        <f t="shared" si="0"/>
        <v>11803.199999999999</v>
      </c>
      <c r="X9" s="154">
        <f t="shared" si="0"/>
        <v>0</v>
      </c>
      <c r="Y9" s="154">
        <f t="shared" si="0"/>
        <v>11803.199999999999</v>
      </c>
      <c r="Z9" s="154">
        <f t="shared" si="0"/>
        <v>0</v>
      </c>
      <c r="AA9" s="154">
        <f t="shared" si="0"/>
        <v>11803.199999999999</v>
      </c>
      <c r="AB9" s="154">
        <f t="shared" si="0"/>
        <v>0</v>
      </c>
      <c r="AC9" s="154">
        <f t="shared" si="0"/>
        <v>11803.199999999999</v>
      </c>
      <c r="AD9" s="154">
        <f t="shared" si="0"/>
        <v>0</v>
      </c>
      <c r="AE9" s="154">
        <f t="shared" si="0"/>
        <v>11803.199999999999</v>
      </c>
      <c r="AF9" s="154">
        <f t="shared" si="0"/>
        <v>0</v>
      </c>
      <c r="AG9" s="154">
        <f t="shared" si="0"/>
        <v>11803.199999999999</v>
      </c>
      <c r="AH9" s="154">
        <f t="shared" si="0"/>
        <v>0</v>
      </c>
      <c r="AI9" s="154">
        <f t="shared" si="0"/>
        <v>11803.199999999999</v>
      </c>
      <c r="AJ9" s="154">
        <f t="shared" si="0"/>
        <v>0</v>
      </c>
      <c r="AK9" s="154">
        <f t="shared" si="0"/>
        <v>11803.199999999999</v>
      </c>
      <c r="AL9" s="154">
        <f t="shared" si="0"/>
        <v>0</v>
      </c>
      <c r="AM9" s="154">
        <f t="shared" si="0"/>
        <v>11803.199999999999</v>
      </c>
      <c r="AN9" s="154">
        <f t="shared" si="0"/>
        <v>0</v>
      </c>
      <c r="AO9" s="154">
        <f t="shared" si="0"/>
        <v>11803.199999999999</v>
      </c>
      <c r="AP9" s="154">
        <f t="shared" si="0"/>
        <v>0</v>
      </c>
      <c r="AQ9" s="154">
        <f t="shared" si="0"/>
        <v>11803.199999999999</v>
      </c>
      <c r="AR9" s="154">
        <f t="shared" si="0"/>
        <v>0</v>
      </c>
      <c r="AS9" s="154">
        <f t="shared" si="0"/>
        <v>11803.199999999999</v>
      </c>
      <c r="AT9" s="154">
        <f t="shared" si="0"/>
        <v>0</v>
      </c>
      <c r="AU9" s="154">
        <f t="shared" si="0"/>
        <v>11803.199999999999</v>
      </c>
      <c r="AV9" s="154">
        <f t="shared" si="0"/>
        <v>0</v>
      </c>
      <c r="AW9" s="154">
        <f t="shared" si="0"/>
        <v>11803.199999999999</v>
      </c>
      <c r="AX9" s="154">
        <f t="shared" si="0"/>
        <v>0</v>
      </c>
      <c r="AY9" s="154">
        <f t="shared" si="0"/>
        <v>11803.199999999999</v>
      </c>
      <c r="AZ9" s="154">
        <f t="shared" si="0"/>
        <v>0</v>
      </c>
    </row>
    <row r="10" spans="1:52" s="70" customFormat="1" ht="47.25" customHeight="1" outlineLevel="2" x14ac:dyDescent="0.25">
      <c r="A10" s="161" t="s">
        <v>177</v>
      </c>
      <c r="B10" s="188" t="s">
        <v>297</v>
      </c>
      <c r="C10" s="188"/>
      <c r="D10" s="188"/>
      <c r="E10" s="154">
        <f t="shared" ref="E10:AZ10" si="1">SUM(E11:E32)</f>
        <v>119966.40000000002</v>
      </c>
      <c r="F10" s="154">
        <f t="shared" si="1"/>
        <v>0</v>
      </c>
      <c r="G10" s="154">
        <f t="shared" si="1"/>
        <v>119966.40000000002</v>
      </c>
      <c r="H10" s="154">
        <f t="shared" si="1"/>
        <v>0</v>
      </c>
      <c r="I10" s="154">
        <f t="shared" si="1"/>
        <v>11342.7</v>
      </c>
      <c r="J10" s="154">
        <f t="shared" si="1"/>
        <v>0</v>
      </c>
      <c r="K10" s="154">
        <f t="shared" si="1"/>
        <v>11342.7</v>
      </c>
      <c r="L10" s="154">
        <f t="shared" si="1"/>
        <v>0</v>
      </c>
      <c r="M10" s="154">
        <f t="shared" si="1"/>
        <v>10494.899999999996</v>
      </c>
      <c r="N10" s="154">
        <f t="shared" si="1"/>
        <v>0</v>
      </c>
      <c r="O10" s="154">
        <f t="shared" si="1"/>
        <v>10494.899999999996</v>
      </c>
      <c r="P10" s="154">
        <f t="shared" si="1"/>
        <v>0</v>
      </c>
      <c r="Q10" s="176">
        <f t="shared" si="1"/>
        <v>10903.199999999999</v>
      </c>
      <c r="R10" s="154">
        <f t="shared" si="1"/>
        <v>0</v>
      </c>
      <c r="S10" s="154">
        <f t="shared" si="1"/>
        <v>10903.199999999999</v>
      </c>
      <c r="T10" s="154">
        <f t="shared" si="1"/>
        <v>0</v>
      </c>
      <c r="U10" s="154">
        <f t="shared" si="1"/>
        <v>10903.199999999999</v>
      </c>
      <c r="V10" s="154">
        <f t="shared" si="1"/>
        <v>0</v>
      </c>
      <c r="W10" s="154">
        <f t="shared" si="1"/>
        <v>10903.199999999999</v>
      </c>
      <c r="X10" s="154">
        <f t="shared" si="1"/>
        <v>0</v>
      </c>
      <c r="Y10" s="154">
        <f t="shared" si="1"/>
        <v>10903.199999999999</v>
      </c>
      <c r="Z10" s="154">
        <f t="shared" si="1"/>
        <v>0</v>
      </c>
      <c r="AA10" s="154">
        <f t="shared" si="1"/>
        <v>10903.199999999999</v>
      </c>
      <c r="AB10" s="154">
        <f t="shared" si="1"/>
        <v>0</v>
      </c>
      <c r="AC10" s="154">
        <f t="shared" si="1"/>
        <v>10903.199999999999</v>
      </c>
      <c r="AD10" s="154">
        <f t="shared" si="1"/>
        <v>0</v>
      </c>
      <c r="AE10" s="154">
        <f t="shared" si="1"/>
        <v>10903.199999999999</v>
      </c>
      <c r="AF10" s="154">
        <f t="shared" si="1"/>
        <v>0</v>
      </c>
      <c r="AG10" s="154">
        <f t="shared" si="1"/>
        <v>10903.199999999999</v>
      </c>
      <c r="AH10" s="154">
        <f t="shared" si="1"/>
        <v>0</v>
      </c>
      <c r="AI10" s="154">
        <f t="shared" si="1"/>
        <v>10903.199999999999</v>
      </c>
      <c r="AJ10" s="154">
        <f t="shared" si="1"/>
        <v>0</v>
      </c>
      <c r="AK10" s="154">
        <f t="shared" si="1"/>
        <v>10903.199999999999</v>
      </c>
      <c r="AL10" s="154">
        <f t="shared" si="1"/>
        <v>0</v>
      </c>
      <c r="AM10" s="154">
        <f t="shared" si="1"/>
        <v>10903.199999999999</v>
      </c>
      <c r="AN10" s="154">
        <f t="shared" si="1"/>
        <v>0</v>
      </c>
      <c r="AO10" s="154">
        <f t="shared" si="1"/>
        <v>10903.199999999999</v>
      </c>
      <c r="AP10" s="154">
        <f t="shared" si="1"/>
        <v>0</v>
      </c>
      <c r="AQ10" s="154">
        <f t="shared" si="1"/>
        <v>10903.199999999999</v>
      </c>
      <c r="AR10" s="154">
        <f t="shared" si="1"/>
        <v>0</v>
      </c>
      <c r="AS10" s="154">
        <f t="shared" si="1"/>
        <v>10903.199999999999</v>
      </c>
      <c r="AT10" s="154">
        <f t="shared" si="1"/>
        <v>0</v>
      </c>
      <c r="AU10" s="154">
        <f t="shared" si="1"/>
        <v>10903.199999999999</v>
      </c>
      <c r="AV10" s="154">
        <f t="shared" si="1"/>
        <v>0</v>
      </c>
      <c r="AW10" s="154">
        <f t="shared" si="1"/>
        <v>10903.199999999999</v>
      </c>
      <c r="AX10" s="154">
        <f t="shared" si="1"/>
        <v>0</v>
      </c>
      <c r="AY10" s="154">
        <f t="shared" si="1"/>
        <v>10903.199999999999</v>
      </c>
      <c r="AZ10" s="154">
        <f t="shared" si="1"/>
        <v>0</v>
      </c>
    </row>
    <row r="11" spans="1:52" s="70" customFormat="1" ht="44.25" customHeight="1" outlineLevel="2" x14ac:dyDescent="0.25">
      <c r="A11" s="157" t="s">
        <v>178</v>
      </c>
      <c r="B11" s="151" t="s">
        <v>344</v>
      </c>
      <c r="C11" s="71" t="s">
        <v>60</v>
      </c>
      <c r="D11" s="71" t="s">
        <v>328</v>
      </c>
      <c r="E11" s="162">
        <f t="shared" ref="E11:E12" si="2">SUM(F11:H11)</f>
        <v>5518.2</v>
      </c>
      <c r="F11" s="163">
        <f t="shared" ref="F11:F12" si="3">J11+N11+R11+V11+Z11+AD11+AH11+AL11+AP11+AT11+AX11</f>
        <v>0</v>
      </c>
      <c r="G11" s="163">
        <f t="shared" ref="G11:G12" si="4">K11+O11+S11+W11+AA11+AE11+AI11+AM11+AQ11+AU11+AY11</f>
        <v>5518.2</v>
      </c>
      <c r="H11" s="163">
        <f t="shared" ref="H11:H12" si="5">L11+P11+T11+X11+AB11+AF11+AJ11+AN11+AR11+AV11+AZ11</f>
        <v>0</v>
      </c>
      <c r="I11" s="154">
        <f t="shared" ref="I11:I12" si="6">K11</f>
        <v>468.7</v>
      </c>
      <c r="J11" s="153">
        <v>0</v>
      </c>
      <c r="K11" s="152">
        <v>468.7</v>
      </c>
      <c r="L11" s="153">
        <v>0</v>
      </c>
      <c r="M11" s="154">
        <f t="shared" ref="M11:M12" si="7">SUM(N11:P11)</f>
        <v>487.4</v>
      </c>
      <c r="N11" s="153">
        <v>0</v>
      </c>
      <c r="O11" s="155">
        <v>487.4</v>
      </c>
      <c r="P11" s="153">
        <v>0</v>
      </c>
      <c r="Q11" s="176">
        <f t="shared" ref="Q11:Q12" si="8">SUM(R11:T11)</f>
        <v>506.9</v>
      </c>
      <c r="R11" s="153">
        <v>0</v>
      </c>
      <c r="S11" s="155">
        <v>506.9</v>
      </c>
      <c r="T11" s="153">
        <v>0</v>
      </c>
      <c r="U11" s="154">
        <f t="shared" ref="U11:U12" si="9">SUM(V11:X11)</f>
        <v>506.9</v>
      </c>
      <c r="V11" s="153">
        <v>0</v>
      </c>
      <c r="W11" s="155">
        <v>506.9</v>
      </c>
      <c r="X11" s="153">
        <v>0</v>
      </c>
      <c r="Y11" s="154">
        <f t="shared" ref="Y11:Y12" si="10">SUM(Z11:AB11)</f>
        <v>506.9</v>
      </c>
      <c r="Z11" s="153">
        <v>0</v>
      </c>
      <c r="AA11" s="155">
        <v>506.9</v>
      </c>
      <c r="AB11" s="153">
        <v>0</v>
      </c>
      <c r="AC11" s="154">
        <f t="shared" ref="AC11:AC12" si="11">SUM(AD11:AF11)</f>
        <v>506.9</v>
      </c>
      <c r="AD11" s="153">
        <v>0</v>
      </c>
      <c r="AE11" s="155">
        <v>506.9</v>
      </c>
      <c r="AF11" s="153">
        <v>0</v>
      </c>
      <c r="AG11" s="154">
        <f t="shared" ref="AG11:AG12" si="12">SUM(AH11:AJ11)</f>
        <v>506.9</v>
      </c>
      <c r="AH11" s="153">
        <v>0</v>
      </c>
      <c r="AI11" s="155">
        <v>506.9</v>
      </c>
      <c r="AJ11" s="153">
        <v>0</v>
      </c>
      <c r="AK11" s="154">
        <f t="shared" ref="AK11:AK12" si="13">SUM(AL11:AN11)</f>
        <v>506.9</v>
      </c>
      <c r="AL11" s="153">
        <v>0</v>
      </c>
      <c r="AM11" s="155">
        <v>506.9</v>
      </c>
      <c r="AN11" s="153">
        <v>0</v>
      </c>
      <c r="AO11" s="154">
        <f t="shared" ref="AO11:AO12" si="14">SUM(AP11:AR11)</f>
        <v>506.9</v>
      </c>
      <c r="AP11" s="153">
        <v>0</v>
      </c>
      <c r="AQ11" s="155">
        <v>506.9</v>
      </c>
      <c r="AR11" s="153">
        <v>0</v>
      </c>
      <c r="AS11" s="154">
        <f t="shared" ref="AS11:AS12" si="15">SUM(AT11:AV11)</f>
        <v>506.9</v>
      </c>
      <c r="AT11" s="153">
        <v>0</v>
      </c>
      <c r="AU11" s="155">
        <v>506.9</v>
      </c>
      <c r="AV11" s="153">
        <v>0</v>
      </c>
      <c r="AW11" s="154">
        <f t="shared" ref="AW11:AW12" si="16">SUM(AX11:AZ11)</f>
        <v>506.9</v>
      </c>
      <c r="AX11" s="153">
        <v>0</v>
      </c>
      <c r="AY11" s="155">
        <v>506.9</v>
      </c>
      <c r="AZ11" s="153">
        <v>0</v>
      </c>
    </row>
    <row r="12" spans="1:52" s="70" customFormat="1" ht="39" customHeight="1" outlineLevel="2" x14ac:dyDescent="0.25">
      <c r="A12" s="157" t="s">
        <v>291</v>
      </c>
      <c r="B12" s="151" t="s">
        <v>336</v>
      </c>
      <c r="C12" s="71" t="s">
        <v>60</v>
      </c>
      <c r="D12" s="71" t="s">
        <v>328</v>
      </c>
      <c r="E12" s="162">
        <f t="shared" si="2"/>
        <v>1177.8000000000002</v>
      </c>
      <c r="F12" s="163">
        <f t="shared" si="3"/>
        <v>0</v>
      </c>
      <c r="G12" s="163">
        <f t="shared" si="4"/>
        <v>1177.8000000000002</v>
      </c>
      <c r="H12" s="163">
        <f t="shared" si="5"/>
        <v>0</v>
      </c>
      <c r="I12" s="154">
        <f t="shared" si="6"/>
        <v>100</v>
      </c>
      <c r="J12" s="153"/>
      <c r="K12" s="152">
        <v>100</v>
      </c>
      <c r="L12" s="153">
        <v>0</v>
      </c>
      <c r="M12" s="154">
        <f t="shared" si="7"/>
        <v>104</v>
      </c>
      <c r="N12" s="153">
        <v>0</v>
      </c>
      <c r="O12" s="155">
        <v>104</v>
      </c>
      <c r="P12" s="153">
        <v>0</v>
      </c>
      <c r="Q12" s="176">
        <f t="shared" si="8"/>
        <v>108.2</v>
      </c>
      <c r="R12" s="153">
        <v>0</v>
      </c>
      <c r="S12" s="155">
        <v>108.2</v>
      </c>
      <c r="T12" s="153">
        <v>0</v>
      </c>
      <c r="U12" s="154">
        <f t="shared" si="9"/>
        <v>108.2</v>
      </c>
      <c r="V12" s="153">
        <v>0</v>
      </c>
      <c r="W12" s="155">
        <v>108.2</v>
      </c>
      <c r="X12" s="153">
        <v>0</v>
      </c>
      <c r="Y12" s="154">
        <f t="shared" si="10"/>
        <v>108.2</v>
      </c>
      <c r="Z12" s="153">
        <v>0</v>
      </c>
      <c r="AA12" s="155">
        <v>108.2</v>
      </c>
      <c r="AB12" s="153">
        <v>0</v>
      </c>
      <c r="AC12" s="154">
        <f t="shared" si="11"/>
        <v>108.2</v>
      </c>
      <c r="AD12" s="153">
        <v>0</v>
      </c>
      <c r="AE12" s="155">
        <v>108.2</v>
      </c>
      <c r="AF12" s="153">
        <v>0</v>
      </c>
      <c r="AG12" s="154">
        <f t="shared" si="12"/>
        <v>108.2</v>
      </c>
      <c r="AH12" s="153">
        <v>0</v>
      </c>
      <c r="AI12" s="155">
        <v>108.2</v>
      </c>
      <c r="AJ12" s="153">
        <v>0</v>
      </c>
      <c r="AK12" s="154">
        <f t="shared" si="13"/>
        <v>108.2</v>
      </c>
      <c r="AL12" s="153">
        <v>0</v>
      </c>
      <c r="AM12" s="155">
        <v>108.2</v>
      </c>
      <c r="AN12" s="153">
        <v>0</v>
      </c>
      <c r="AO12" s="154">
        <f t="shared" si="14"/>
        <v>108.2</v>
      </c>
      <c r="AP12" s="153">
        <v>0</v>
      </c>
      <c r="AQ12" s="155">
        <v>108.2</v>
      </c>
      <c r="AR12" s="153">
        <v>0</v>
      </c>
      <c r="AS12" s="154">
        <f t="shared" si="15"/>
        <v>108.2</v>
      </c>
      <c r="AT12" s="153">
        <v>0</v>
      </c>
      <c r="AU12" s="155">
        <v>108.2</v>
      </c>
      <c r="AV12" s="153">
        <v>0</v>
      </c>
      <c r="AW12" s="154">
        <f t="shared" si="16"/>
        <v>108.2</v>
      </c>
      <c r="AX12" s="153">
        <v>0</v>
      </c>
      <c r="AY12" s="155">
        <v>108.2</v>
      </c>
      <c r="AZ12" s="153">
        <v>0</v>
      </c>
    </row>
    <row r="13" spans="1:52" s="70" customFormat="1" ht="40.5" customHeight="1" outlineLevel="2" x14ac:dyDescent="0.25">
      <c r="A13" s="157" t="s">
        <v>292</v>
      </c>
      <c r="B13" s="151" t="s">
        <v>301</v>
      </c>
      <c r="C13" s="71" t="s">
        <v>60</v>
      </c>
      <c r="D13" s="71" t="s">
        <v>328</v>
      </c>
      <c r="E13" s="162">
        <f>SUM(F13:H13)</f>
        <v>10772.800000000001</v>
      </c>
      <c r="F13" s="163">
        <f t="shared" ref="F13:F14" si="17">J13+N13+R13+V13+Z13+AD13+AH13+AL13+AP13+AT13+AX13</f>
        <v>0</v>
      </c>
      <c r="G13" s="163">
        <f t="shared" ref="G13:G14" si="18">K13+O13+S13+W13+AA13+AE13+AI13+AM13+AQ13+AU13+AY13</f>
        <v>10772.800000000001</v>
      </c>
      <c r="H13" s="163">
        <f t="shared" ref="H13:H14" si="19">L13+P13+T13+X13+AB13+AF13+AJ13+AN13+AR13+AV13+AZ13</f>
        <v>0</v>
      </c>
      <c r="I13" s="154">
        <f>K13</f>
        <v>914.9</v>
      </c>
      <c r="J13" s="153">
        <v>0</v>
      </c>
      <c r="K13" s="152">
        <v>914.9</v>
      </c>
      <c r="L13" s="153">
        <v>0</v>
      </c>
      <c r="M13" s="154">
        <f t="shared" ref="M13:M14" si="20">SUM(N13:P13)</f>
        <v>951.5</v>
      </c>
      <c r="N13" s="153">
        <v>0</v>
      </c>
      <c r="O13" s="155">
        <v>951.5</v>
      </c>
      <c r="P13" s="153">
        <v>0</v>
      </c>
      <c r="Q13" s="176">
        <f t="shared" ref="Q13:Q14" si="21">SUM(R13:T13)</f>
        <v>989.6</v>
      </c>
      <c r="R13" s="153">
        <v>0</v>
      </c>
      <c r="S13" s="155">
        <v>989.6</v>
      </c>
      <c r="T13" s="153">
        <v>0</v>
      </c>
      <c r="U13" s="154">
        <f t="shared" ref="U13:U14" si="22">SUM(V13:X13)</f>
        <v>989.6</v>
      </c>
      <c r="V13" s="153">
        <v>0</v>
      </c>
      <c r="W13" s="155">
        <v>989.6</v>
      </c>
      <c r="X13" s="153">
        <v>0</v>
      </c>
      <c r="Y13" s="154">
        <f t="shared" ref="Y13:Y14" si="23">SUM(Z13:AB13)</f>
        <v>989.6</v>
      </c>
      <c r="Z13" s="153">
        <v>0</v>
      </c>
      <c r="AA13" s="155">
        <v>989.6</v>
      </c>
      <c r="AB13" s="153">
        <v>0</v>
      </c>
      <c r="AC13" s="154">
        <f t="shared" ref="AC13:AC14" si="24">SUM(AD13:AF13)</f>
        <v>989.6</v>
      </c>
      <c r="AD13" s="153">
        <v>0</v>
      </c>
      <c r="AE13" s="155">
        <v>989.6</v>
      </c>
      <c r="AF13" s="153">
        <v>0</v>
      </c>
      <c r="AG13" s="154">
        <f t="shared" ref="AG13:AG14" si="25">SUM(AH13:AJ13)</f>
        <v>989.6</v>
      </c>
      <c r="AH13" s="153">
        <v>0</v>
      </c>
      <c r="AI13" s="155">
        <v>989.6</v>
      </c>
      <c r="AJ13" s="153">
        <v>0</v>
      </c>
      <c r="AK13" s="154">
        <f t="shared" ref="AK13:AK14" si="26">SUM(AL13:AN13)</f>
        <v>989.6</v>
      </c>
      <c r="AL13" s="153">
        <v>0</v>
      </c>
      <c r="AM13" s="155">
        <v>989.6</v>
      </c>
      <c r="AN13" s="153">
        <v>0</v>
      </c>
      <c r="AO13" s="154">
        <f t="shared" ref="AO13:AO14" si="27">SUM(AP13:AR13)</f>
        <v>989.6</v>
      </c>
      <c r="AP13" s="153">
        <v>0</v>
      </c>
      <c r="AQ13" s="155">
        <v>989.6</v>
      </c>
      <c r="AR13" s="153">
        <v>0</v>
      </c>
      <c r="AS13" s="154">
        <f t="shared" ref="AS13:AS14" si="28">SUM(AT13:AV13)</f>
        <v>989.6</v>
      </c>
      <c r="AT13" s="153">
        <v>0</v>
      </c>
      <c r="AU13" s="155">
        <v>989.6</v>
      </c>
      <c r="AV13" s="153">
        <v>0</v>
      </c>
      <c r="AW13" s="154">
        <f t="shared" ref="AW13:AW14" si="29">SUM(AX13:AZ13)</f>
        <v>989.6</v>
      </c>
      <c r="AX13" s="153">
        <v>0</v>
      </c>
      <c r="AY13" s="155">
        <v>989.6</v>
      </c>
      <c r="AZ13" s="153">
        <v>0</v>
      </c>
    </row>
    <row r="14" spans="1:52" s="70" customFormat="1" ht="44.25" customHeight="1" outlineLevel="2" x14ac:dyDescent="0.25">
      <c r="A14" s="157" t="s">
        <v>293</v>
      </c>
      <c r="B14" s="151" t="s">
        <v>299</v>
      </c>
      <c r="C14" s="71" t="s">
        <v>60</v>
      </c>
      <c r="D14" s="71" t="s">
        <v>328</v>
      </c>
      <c r="E14" s="162">
        <f t="shared" ref="E14" si="30">SUM(F14:H14)</f>
        <v>14648.200000000003</v>
      </c>
      <c r="F14" s="163">
        <f t="shared" si="17"/>
        <v>0</v>
      </c>
      <c r="G14" s="163">
        <f t="shared" si="18"/>
        <v>14648.200000000003</v>
      </c>
      <c r="H14" s="163">
        <f t="shared" si="19"/>
        <v>0</v>
      </c>
      <c r="I14" s="154">
        <f t="shared" ref="I14" si="31">K14</f>
        <v>1244</v>
      </c>
      <c r="J14" s="153">
        <v>0</v>
      </c>
      <c r="K14" s="152">
        <v>1244</v>
      </c>
      <c r="L14" s="153">
        <v>0</v>
      </c>
      <c r="M14" s="154">
        <f t="shared" si="20"/>
        <v>1293.8</v>
      </c>
      <c r="N14" s="153">
        <v>0</v>
      </c>
      <c r="O14" s="155">
        <v>1293.8</v>
      </c>
      <c r="P14" s="153">
        <v>0</v>
      </c>
      <c r="Q14" s="176">
        <f t="shared" si="21"/>
        <v>1345.6</v>
      </c>
      <c r="R14" s="153">
        <v>0</v>
      </c>
      <c r="S14" s="155">
        <v>1345.6</v>
      </c>
      <c r="T14" s="153">
        <v>0</v>
      </c>
      <c r="U14" s="154">
        <f t="shared" si="22"/>
        <v>1345.6</v>
      </c>
      <c r="V14" s="153">
        <v>0</v>
      </c>
      <c r="W14" s="155">
        <v>1345.6</v>
      </c>
      <c r="X14" s="153">
        <v>0</v>
      </c>
      <c r="Y14" s="154">
        <f t="shared" si="23"/>
        <v>1345.6</v>
      </c>
      <c r="Z14" s="153">
        <v>0</v>
      </c>
      <c r="AA14" s="155">
        <v>1345.6</v>
      </c>
      <c r="AB14" s="153">
        <v>0</v>
      </c>
      <c r="AC14" s="154">
        <f t="shared" si="24"/>
        <v>1345.6</v>
      </c>
      <c r="AD14" s="153">
        <v>0</v>
      </c>
      <c r="AE14" s="155">
        <v>1345.6</v>
      </c>
      <c r="AF14" s="153">
        <v>0</v>
      </c>
      <c r="AG14" s="154">
        <f t="shared" si="25"/>
        <v>1345.6</v>
      </c>
      <c r="AH14" s="153">
        <v>0</v>
      </c>
      <c r="AI14" s="155">
        <v>1345.6</v>
      </c>
      <c r="AJ14" s="153">
        <v>0</v>
      </c>
      <c r="AK14" s="154">
        <f t="shared" si="26"/>
        <v>1345.6</v>
      </c>
      <c r="AL14" s="153">
        <v>0</v>
      </c>
      <c r="AM14" s="155">
        <v>1345.6</v>
      </c>
      <c r="AN14" s="153">
        <v>0</v>
      </c>
      <c r="AO14" s="154">
        <f t="shared" si="27"/>
        <v>1345.6</v>
      </c>
      <c r="AP14" s="153">
        <v>0</v>
      </c>
      <c r="AQ14" s="155">
        <v>1345.6</v>
      </c>
      <c r="AR14" s="153">
        <v>0</v>
      </c>
      <c r="AS14" s="154">
        <f t="shared" si="28"/>
        <v>1345.6</v>
      </c>
      <c r="AT14" s="153">
        <v>0</v>
      </c>
      <c r="AU14" s="155">
        <v>1345.6</v>
      </c>
      <c r="AV14" s="153">
        <v>0</v>
      </c>
      <c r="AW14" s="154">
        <f t="shared" si="29"/>
        <v>1345.6</v>
      </c>
      <c r="AX14" s="153">
        <v>0</v>
      </c>
      <c r="AY14" s="155">
        <v>1345.6</v>
      </c>
      <c r="AZ14" s="153">
        <v>0</v>
      </c>
    </row>
    <row r="15" spans="1:52" s="70" customFormat="1" ht="39.75" customHeight="1" outlineLevel="2" x14ac:dyDescent="0.25">
      <c r="A15" s="157" t="s">
        <v>294</v>
      </c>
      <c r="B15" s="151" t="s">
        <v>309</v>
      </c>
      <c r="C15" s="71" t="s">
        <v>60</v>
      </c>
      <c r="D15" s="71" t="s">
        <v>328</v>
      </c>
      <c r="E15" s="162">
        <f t="shared" ref="E15:E16" si="32">SUM(F15:H15)</f>
        <v>2827.0999999999995</v>
      </c>
      <c r="F15" s="163">
        <f t="shared" ref="F15:F16" si="33">J15+N15+R15+V15+Z15+AD15+AH15+AL15+AP15+AT15+AX15</f>
        <v>0</v>
      </c>
      <c r="G15" s="163">
        <f t="shared" ref="G15:G16" si="34">K15+O15+S15+W15+AA15+AE15+AI15+AM15+AQ15+AU15+AY15</f>
        <v>2827.0999999999995</v>
      </c>
      <c r="H15" s="163">
        <f t="shared" ref="H15:H16" si="35">L15+P15+T15+X15+AB15+AF15+AJ15+AN15+AR15+AV15+AZ15</f>
        <v>0</v>
      </c>
      <c r="I15" s="154">
        <f t="shared" ref="I15:I16" si="36">K15</f>
        <v>240.1</v>
      </c>
      <c r="J15" s="153"/>
      <c r="K15" s="152">
        <v>240.1</v>
      </c>
      <c r="L15" s="153">
        <v>0</v>
      </c>
      <c r="M15" s="154">
        <f t="shared" ref="M15:M16" si="37">SUM(N15:P15)</f>
        <v>249.7</v>
      </c>
      <c r="N15" s="153">
        <v>0</v>
      </c>
      <c r="O15" s="155">
        <v>249.7</v>
      </c>
      <c r="P15" s="153">
        <v>0</v>
      </c>
      <c r="Q15" s="176">
        <f t="shared" ref="Q15:Q16" si="38">SUM(R15:T15)</f>
        <v>259.7</v>
      </c>
      <c r="R15" s="153">
        <v>0</v>
      </c>
      <c r="S15" s="155">
        <v>259.7</v>
      </c>
      <c r="T15" s="153">
        <v>0</v>
      </c>
      <c r="U15" s="154">
        <f t="shared" ref="U15:U16" si="39">SUM(V15:X15)</f>
        <v>259.7</v>
      </c>
      <c r="V15" s="153">
        <v>0</v>
      </c>
      <c r="W15" s="155">
        <v>259.7</v>
      </c>
      <c r="X15" s="153">
        <v>0</v>
      </c>
      <c r="Y15" s="154">
        <f t="shared" ref="Y15:Y16" si="40">SUM(Z15:AB15)</f>
        <v>259.7</v>
      </c>
      <c r="Z15" s="153">
        <v>0</v>
      </c>
      <c r="AA15" s="155">
        <v>259.7</v>
      </c>
      <c r="AB15" s="153">
        <v>0</v>
      </c>
      <c r="AC15" s="154">
        <f t="shared" ref="AC15:AC16" si="41">SUM(AD15:AF15)</f>
        <v>259.7</v>
      </c>
      <c r="AD15" s="153">
        <v>0</v>
      </c>
      <c r="AE15" s="155">
        <v>259.7</v>
      </c>
      <c r="AF15" s="153">
        <v>0</v>
      </c>
      <c r="AG15" s="154">
        <f t="shared" ref="AG15:AG16" si="42">SUM(AH15:AJ15)</f>
        <v>259.7</v>
      </c>
      <c r="AH15" s="153">
        <v>0</v>
      </c>
      <c r="AI15" s="155">
        <v>259.7</v>
      </c>
      <c r="AJ15" s="153">
        <v>0</v>
      </c>
      <c r="AK15" s="154">
        <f t="shared" ref="AK15:AK16" si="43">SUM(AL15:AN15)</f>
        <v>259.7</v>
      </c>
      <c r="AL15" s="153">
        <v>0</v>
      </c>
      <c r="AM15" s="155">
        <v>259.7</v>
      </c>
      <c r="AN15" s="153">
        <v>0</v>
      </c>
      <c r="AO15" s="154">
        <f t="shared" ref="AO15:AO16" si="44">SUM(AP15:AR15)</f>
        <v>259.7</v>
      </c>
      <c r="AP15" s="153">
        <v>0</v>
      </c>
      <c r="AQ15" s="155">
        <v>259.7</v>
      </c>
      <c r="AR15" s="153">
        <v>0</v>
      </c>
      <c r="AS15" s="154">
        <f t="shared" ref="AS15:AS16" si="45">SUM(AT15:AV15)</f>
        <v>259.7</v>
      </c>
      <c r="AT15" s="153">
        <v>0</v>
      </c>
      <c r="AU15" s="155">
        <v>259.7</v>
      </c>
      <c r="AV15" s="153">
        <v>0</v>
      </c>
      <c r="AW15" s="154">
        <f t="shared" ref="AW15:AW16" si="46">SUM(AX15:AZ15)</f>
        <v>259.7</v>
      </c>
      <c r="AX15" s="153">
        <v>0</v>
      </c>
      <c r="AY15" s="155">
        <v>259.7</v>
      </c>
      <c r="AZ15" s="153">
        <v>0</v>
      </c>
    </row>
    <row r="16" spans="1:52" s="70" customFormat="1" ht="44.25" customHeight="1" outlineLevel="2" x14ac:dyDescent="0.25">
      <c r="A16" s="157" t="s">
        <v>335</v>
      </c>
      <c r="B16" s="151" t="s">
        <v>314</v>
      </c>
      <c r="C16" s="71" t="s">
        <v>60</v>
      </c>
      <c r="D16" s="71" t="s">
        <v>328</v>
      </c>
      <c r="E16" s="162">
        <f t="shared" si="32"/>
        <v>5285.1</v>
      </c>
      <c r="F16" s="163">
        <f t="shared" si="33"/>
        <v>0</v>
      </c>
      <c r="G16" s="163">
        <f t="shared" si="34"/>
        <v>5285.1</v>
      </c>
      <c r="H16" s="163">
        <f t="shared" si="35"/>
        <v>0</v>
      </c>
      <c r="I16" s="154">
        <f t="shared" si="36"/>
        <v>448.8</v>
      </c>
      <c r="J16" s="153"/>
      <c r="K16" s="152">
        <v>448.8</v>
      </c>
      <c r="L16" s="153">
        <v>0</v>
      </c>
      <c r="M16" s="154">
        <f t="shared" si="37"/>
        <v>466.8</v>
      </c>
      <c r="N16" s="153">
        <v>0</v>
      </c>
      <c r="O16" s="155">
        <v>466.8</v>
      </c>
      <c r="P16" s="153">
        <v>0</v>
      </c>
      <c r="Q16" s="176">
        <f t="shared" si="38"/>
        <v>485.5</v>
      </c>
      <c r="R16" s="153">
        <v>0</v>
      </c>
      <c r="S16" s="155">
        <v>485.5</v>
      </c>
      <c r="T16" s="153">
        <v>0</v>
      </c>
      <c r="U16" s="154">
        <f t="shared" si="39"/>
        <v>485.5</v>
      </c>
      <c r="V16" s="153">
        <v>0</v>
      </c>
      <c r="W16" s="155">
        <v>485.5</v>
      </c>
      <c r="X16" s="153">
        <v>0</v>
      </c>
      <c r="Y16" s="154">
        <f t="shared" si="40"/>
        <v>485.5</v>
      </c>
      <c r="Z16" s="153">
        <v>0</v>
      </c>
      <c r="AA16" s="155">
        <v>485.5</v>
      </c>
      <c r="AB16" s="153">
        <v>0</v>
      </c>
      <c r="AC16" s="154">
        <f t="shared" si="41"/>
        <v>485.5</v>
      </c>
      <c r="AD16" s="153">
        <v>0</v>
      </c>
      <c r="AE16" s="155">
        <v>485.5</v>
      </c>
      <c r="AF16" s="153">
        <v>0</v>
      </c>
      <c r="AG16" s="154">
        <f t="shared" si="42"/>
        <v>485.5</v>
      </c>
      <c r="AH16" s="153">
        <v>0</v>
      </c>
      <c r="AI16" s="155">
        <v>485.5</v>
      </c>
      <c r="AJ16" s="153">
        <v>0</v>
      </c>
      <c r="AK16" s="154">
        <f t="shared" si="43"/>
        <v>485.5</v>
      </c>
      <c r="AL16" s="153">
        <v>0</v>
      </c>
      <c r="AM16" s="155">
        <v>485.5</v>
      </c>
      <c r="AN16" s="153">
        <v>0</v>
      </c>
      <c r="AO16" s="154">
        <f t="shared" si="44"/>
        <v>485.5</v>
      </c>
      <c r="AP16" s="153">
        <v>0</v>
      </c>
      <c r="AQ16" s="155">
        <v>485.5</v>
      </c>
      <c r="AR16" s="153">
        <v>0</v>
      </c>
      <c r="AS16" s="154">
        <f t="shared" si="45"/>
        <v>485.5</v>
      </c>
      <c r="AT16" s="153">
        <v>0</v>
      </c>
      <c r="AU16" s="155">
        <v>485.5</v>
      </c>
      <c r="AV16" s="153">
        <v>0</v>
      </c>
      <c r="AW16" s="154">
        <f t="shared" si="46"/>
        <v>485.5</v>
      </c>
      <c r="AX16" s="153">
        <v>0</v>
      </c>
      <c r="AY16" s="155">
        <v>485.5</v>
      </c>
      <c r="AZ16" s="153">
        <v>0</v>
      </c>
    </row>
    <row r="17" spans="1:52" s="70" customFormat="1" ht="36.75" customHeight="1" outlineLevel="2" x14ac:dyDescent="0.25">
      <c r="A17" s="157" t="s">
        <v>295</v>
      </c>
      <c r="B17" s="151" t="s">
        <v>298</v>
      </c>
      <c r="C17" s="71" t="s">
        <v>60</v>
      </c>
      <c r="D17" s="71" t="s">
        <v>328</v>
      </c>
      <c r="E17" s="162">
        <f t="shared" ref="E17" si="47">SUM(F17:H17)</f>
        <v>6826.7000000000016</v>
      </c>
      <c r="F17" s="163">
        <f t="shared" ref="F17:F18" si="48">J17+N17+R17+V17+Z17+AD17+AH17+AL17+AP17+AT17+AX17</f>
        <v>0</v>
      </c>
      <c r="G17" s="163">
        <f t="shared" ref="G17:G18" si="49">K17+O17+S17+W17+AA17+AE17+AI17+AM17+AQ17+AU17+AY17</f>
        <v>6826.7000000000016</v>
      </c>
      <c r="H17" s="163">
        <f t="shared" ref="H17:H18" si="50">L17+P17+T17+X17+AB17+AF17+AJ17+AN17+AR17+AV17+AZ17</f>
        <v>0</v>
      </c>
      <c r="I17" s="154">
        <f t="shared" ref="I17:I18" si="51">K17</f>
        <v>579.79999999999995</v>
      </c>
      <c r="J17" s="153">
        <v>0</v>
      </c>
      <c r="K17" s="152">
        <v>579.79999999999995</v>
      </c>
      <c r="L17" s="153">
        <v>0</v>
      </c>
      <c r="M17" s="154">
        <f t="shared" ref="M17:M18" si="52">SUM(N17:P17)</f>
        <v>603</v>
      </c>
      <c r="N17" s="153">
        <v>0</v>
      </c>
      <c r="O17" s="155">
        <v>603</v>
      </c>
      <c r="P17" s="153">
        <v>0</v>
      </c>
      <c r="Q17" s="176">
        <f t="shared" ref="Q17" si="53">SUM(R17:T17)</f>
        <v>627.1</v>
      </c>
      <c r="R17" s="153">
        <v>0</v>
      </c>
      <c r="S17" s="155">
        <v>627.1</v>
      </c>
      <c r="T17" s="153">
        <v>0</v>
      </c>
      <c r="U17" s="154">
        <f t="shared" ref="U17:U18" si="54">SUM(V17:X17)</f>
        <v>627.1</v>
      </c>
      <c r="V17" s="153">
        <v>0</v>
      </c>
      <c r="W17" s="155">
        <v>627.1</v>
      </c>
      <c r="X17" s="153">
        <v>0</v>
      </c>
      <c r="Y17" s="154">
        <f t="shared" ref="Y17:Y18" si="55">SUM(Z17:AB17)</f>
        <v>627.1</v>
      </c>
      <c r="Z17" s="153">
        <v>0</v>
      </c>
      <c r="AA17" s="155">
        <v>627.1</v>
      </c>
      <c r="AB17" s="153">
        <v>0</v>
      </c>
      <c r="AC17" s="154">
        <f t="shared" ref="AC17:AC18" si="56">SUM(AD17:AF17)</f>
        <v>627.1</v>
      </c>
      <c r="AD17" s="153">
        <v>0</v>
      </c>
      <c r="AE17" s="155">
        <v>627.1</v>
      </c>
      <c r="AF17" s="153">
        <v>0</v>
      </c>
      <c r="AG17" s="154">
        <f t="shared" ref="AG17:AG18" si="57">SUM(AH17:AJ17)</f>
        <v>627.1</v>
      </c>
      <c r="AH17" s="153">
        <v>0</v>
      </c>
      <c r="AI17" s="155">
        <v>627.1</v>
      </c>
      <c r="AJ17" s="153">
        <v>0</v>
      </c>
      <c r="AK17" s="154">
        <f t="shared" ref="AK17:AK18" si="58">SUM(AL17:AN17)</f>
        <v>627.1</v>
      </c>
      <c r="AL17" s="153">
        <v>0</v>
      </c>
      <c r="AM17" s="155">
        <v>627.1</v>
      </c>
      <c r="AN17" s="153">
        <v>0</v>
      </c>
      <c r="AO17" s="154">
        <f t="shared" ref="AO17:AO18" si="59">SUM(AP17:AR17)</f>
        <v>627.1</v>
      </c>
      <c r="AP17" s="153">
        <v>0</v>
      </c>
      <c r="AQ17" s="155">
        <v>627.1</v>
      </c>
      <c r="AR17" s="153">
        <v>0</v>
      </c>
      <c r="AS17" s="154">
        <f t="shared" ref="AS17:AS18" si="60">SUM(AT17:AV17)</f>
        <v>627.1</v>
      </c>
      <c r="AT17" s="153">
        <v>0</v>
      </c>
      <c r="AU17" s="155">
        <v>627.1</v>
      </c>
      <c r="AV17" s="153">
        <v>0</v>
      </c>
      <c r="AW17" s="154">
        <f t="shared" ref="AW17:AW18" si="61">SUM(AX17:AZ17)</f>
        <v>627.1</v>
      </c>
      <c r="AX17" s="153">
        <v>0</v>
      </c>
      <c r="AY17" s="155">
        <v>627.1</v>
      </c>
      <c r="AZ17" s="153">
        <v>0</v>
      </c>
    </row>
    <row r="18" spans="1:52" s="70" customFormat="1" ht="36" customHeight="1" outlineLevel="2" x14ac:dyDescent="0.25">
      <c r="A18" s="157" t="s">
        <v>296</v>
      </c>
      <c r="B18" s="151" t="s">
        <v>337</v>
      </c>
      <c r="C18" s="71" t="s">
        <v>60</v>
      </c>
      <c r="D18" s="71" t="s">
        <v>328</v>
      </c>
      <c r="E18" s="162">
        <f t="shared" ref="E18" si="62">SUM(F18:H18)</f>
        <v>1453.2</v>
      </c>
      <c r="F18" s="163">
        <f t="shared" si="48"/>
        <v>0</v>
      </c>
      <c r="G18" s="163">
        <f t="shared" si="49"/>
        <v>1453.2</v>
      </c>
      <c r="H18" s="163">
        <f t="shared" si="50"/>
        <v>0</v>
      </c>
      <c r="I18" s="154">
        <f t="shared" si="51"/>
        <v>123.4</v>
      </c>
      <c r="J18" s="153"/>
      <c r="K18" s="152">
        <v>123.4</v>
      </c>
      <c r="L18" s="153">
        <v>0</v>
      </c>
      <c r="M18" s="154">
        <f t="shared" si="52"/>
        <v>128.30000000000001</v>
      </c>
      <c r="N18" s="153">
        <v>0</v>
      </c>
      <c r="O18" s="155">
        <v>128.30000000000001</v>
      </c>
      <c r="P18" s="153">
        <v>0</v>
      </c>
      <c r="Q18" s="176">
        <f>SUM(R18:T18)</f>
        <v>133.5</v>
      </c>
      <c r="R18" s="153">
        <v>0</v>
      </c>
      <c r="S18" s="155">
        <v>133.5</v>
      </c>
      <c r="T18" s="153">
        <v>0</v>
      </c>
      <c r="U18" s="154">
        <f t="shared" si="54"/>
        <v>133.5</v>
      </c>
      <c r="V18" s="153">
        <v>0</v>
      </c>
      <c r="W18" s="155">
        <v>133.5</v>
      </c>
      <c r="X18" s="153">
        <v>0</v>
      </c>
      <c r="Y18" s="154">
        <f t="shared" si="55"/>
        <v>133.5</v>
      </c>
      <c r="Z18" s="153">
        <v>0</v>
      </c>
      <c r="AA18" s="155">
        <v>133.5</v>
      </c>
      <c r="AB18" s="153">
        <v>0</v>
      </c>
      <c r="AC18" s="154">
        <f t="shared" si="56"/>
        <v>133.5</v>
      </c>
      <c r="AD18" s="153">
        <v>0</v>
      </c>
      <c r="AE18" s="155">
        <v>133.5</v>
      </c>
      <c r="AF18" s="153">
        <v>0</v>
      </c>
      <c r="AG18" s="154">
        <f t="shared" si="57"/>
        <v>133.5</v>
      </c>
      <c r="AH18" s="153">
        <v>0</v>
      </c>
      <c r="AI18" s="155">
        <v>133.5</v>
      </c>
      <c r="AJ18" s="153">
        <v>0</v>
      </c>
      <c r="AK18" s="154">
        <f t="shared" si="58"/>
        <v>133.5</v>
      </c>
      <c r="AL18" s="153">
        <v>0</v>
      </c>
      <c r="AM18" s="155">
        <v>133.5</v>
      </c>
      <c r="AN18" s="153">
        <v>0</v>
      </c>
      <c r="AO18" s="154">
        <f t="shared" si="59"/>
        <v>133.5</v>
      </c>
      <c r="AP18" s="153">
        <v>0</v>
      </c>
      <c r="AQ18" s="155">
        <v>133.5</v>
      </c>
      <c r="AR18" s="153">
        <v>0</v>
      </c>
      <c r="AS18" s="154">
        <f t="shared" si="60"/>
        <v>133.5</v>
      </c>
      <c r="AT18" s="153">
        <v>0</v>
      </c>
      <c r="AU18" s="155">
        <v>133.5</v>
      </c>
      <c r="AV18" s="153">
        <v>0</v>
      </c>
      <c r="AW18" s="154">
        <f t="shared" si="61"/>
        <v>133.5</v>
      </c>
      <c r="AX18" s="153">
        <v>0</v>
      </c>
      <c r="AY18" s="155">
        <v>133.5</v>
      </c>
      <c r="AZ18" s="153">
        <v>0</v>
      </c>
    </row>
    <row r="19" spans="1:52" s="70" customFormat="1" ht="39" customHeight="1" outlineLevel="2" x14ac:dyDescent="0.25">
      <c r="A19" s="157" t="s">
        <v>305</v>
      </c>
      <c r="B19" s="151" t="s">
        <v>300</v>
      </c>
      <c r="C19" s="71" t="s">
        <v>60</v>
      </c>
      <c r="D19" s="71" t="s">
        <v>328</v>
      </c>
      <c r="E19" s="162">
        <f t="shared" ref="E19" si="63">SUM(F19:H19)</f>
        <v>4402.2000000000007</v>
      </c>
      <c r="F19" s="163">
        <f t="shared" ref="F19" si="64">J19+N19+R19+V19+Z19+AD19+AH19+AL19+AP19+AT19+AX19</f>
        <v>0</v>
      </c>
      <c r="G19" s="163">
        <f t="shared" ref="G19" si="65">K19+O19+S19+W19+AA19+AE19+AI19+AM19+AQ19+AU19+AY19</f>
        <v>4402.2000000000007</v>
      </c>
      <c r="H19" s="163">
        <f t="shared" ref="H19" si="66">L19+P19+T19+X19+AB19+AF19+AJ19+AN19+AR19+AV19+AZ19</f>
        <v>0</v>
      </c>
      <c r="I19" s="154">
        <f t="shared" ref="I19" si="67">K19</f>
        <v>373.8</v>
      </c>
      <c r="J19" s="153">
        <v>0</v>
      </c>
      <c r="K19" s="152">
        <v>373.8</v>
      </c>
      <c r="L19" s="153">
        <v>0</v>
      </c>
      <c r="M19" s="154">
        <f t="shared" ref="M19" si="68">SUM(N19:P19)</f>
        <v>388.8</v>
      </c>
      <c r="N19" s="153">
        <v>0</v>
      </c>
      <c r="O19" s="155">
        <v>388.8</v>
      </c>
      <c r="P19" s="153">
        <v>0</v>
      </c>
      <c r="Q19" s="176">
        <f t="shared" ref="Q19" si="69">SUM(R19:T19)</f>
        <v>404.4</v>
      </c>
      <c r="R19" s="153">
        <v>0</v>
      </c>
      <c r="S19" s="155">
        <v>404.4</v>
      </c>
      <c r="T19" s="153">
        <v>0</v>
      </c>
      <c r="U19" s="154">
        <f t="shared" ref="U19" si="70">SUM(V19:X19)</f>
        <v>404.4</v>
      </c>
      <c r="V19" s="153">
        <v>0</v>
      </c>
      <c r="W19" s="155">
        <v>404.4</v>
      </c>
      <c r="X19" s="153">
        <v>0</v>
      </c>
      <c r="Y19" s="154">
        <f t="shared" ref="Y19" si="71">SUM(Z19:AB19)</f>
        <v>404.4</v>
      </c>
      <c r="Z19" s="153">
        <v>0</v>
      </c>
      <c r="AA19" s="155">
        <v>404.4</v>
      </c>
      <c r="AB19" s="153">
        <v>0</v>
      </c>
      <c r="AC19" s="154">
        <f t="shared" ref="AC19" si="72">SUM(AD19:AF19)</f>
        <v>404.4</v>
      </c>
      <c r="AD19" s="153">
        <v>0</v>
      </c>
      <c r="AE19" s="155">
        <v>404.4</v>
      </c>
      <c r="AF19" s="153">
        <v>0</v>
      </c>
      <c r="AG19" s="154">
        <f t="shared" ref="AG19" si="73">SUM(AH19:AJ19)</f>
        <v>404.4</v>
      </c>
      <c r="AH19" s="153">
        <v>0</v>
      </c>
      <c r="AI19" s="155">
        <v>404.4</v>
      </c>
      <c r="AJ19" s="153">
        <v>0</v>
      </c>
      <c r="AK19" s="154">
        <f t="shared" ref="AK19" si="74">SUM(AL19:AN19)</f>
        <v>404.4</v>
      </c>
      <c r="AL19" s="153">
        <v>0</v>
      </c>
      <c r="AM19" s="155">
        <v>404.4</v>
      </c>
      <c r="AN19" s="153">
        <v>0</v>
      </c>
      <c r="AO19" s="154">
        <f t="shared" ref="AO19" si="75">SUM(AP19:AR19)</f>
        <v>404.4</v>
      </c>
      <c r="AP19" s="153">
        <v>0</v>
      </c>
      <c r="AQ19" s="155">
        <v>404.4</v>
      </c>
      <c r="AR19" s="153">
        <v>0</v>
      </c>
      <c r="AS19" s="154">
        <f t="shared" ref="AS19" si="76">SUM(AT19:AV19)</f>
        <v>404.4</v>
      </c>
      <c r="AT19" s="153">
        <v>0</v>
      </c>
      <c r="AU19" s="155">
        <v>404.4</v>
      </c>
      <c r="AV19" s="153">
        <v>0</v>
      </c>
      <c r="AW19" s="154">
        <f t="shared" ref="AW19" si="77">SUM(AX19:AZ19)</f>
        <v>404.4</v>
      </c>
      <c r="AX19" s="153">
        <v>0</v>
      </c>
      <c r="AY19" s="155">
        <v>404.4</v>
      </c>
      <c r="AZ19" s="153">
        <v>0</v>
      </c>
    </row>
    <row r="20" spans="1:52" s="70" customFormat="1" ht="43.5" customHeight="1" outlineLevel="2" x14ac:dyDescent="0.25">
      <c r="A20" s="157" t="s">
        <v>316</v>
      </c>
      <c r="B20" s="151" t="s">
        <v>304</v>
      </c>
      <c r="C20" s="71" t="s">
        <v>60</v>
      </c>
      <c r="D20" s="71" t="s">
        <v>328</v>
      </c>
      <c r="E20" s="162">
        <f t="shared" ref="E20" si="78">SUM(F20:H20)</f>
        <v>8297.4</v>
      </c>
      <c r="F20" s="163">
        <f t="shared" ref="F20" si="79">J20+N20+R20+V20+Z20+AD20+AH20+AL20+AP20+AT20+AX20</f>
        <v>0</v>
      </c>
      <c r="G20" s="163">
        <f t="shared" ref="G20" si="80">K20+O20+S20+W20+AA20+AE20+AI20+AM20+AQ20+AU20+AY20</f>
        <v>8297.4</v>
      </c>
      <c r="H20" s="163">
        <f t="shared" ref="H20" si="81">L20+P20+T20+X20+AB20+AF20+AJ20+AN20+AR20+AV20+AZ20</f>
        <v>0</v>
      </c>
      <c r="I20" s="154">
        <f t="shared" ref="I20" si="82">K20</f>
        <v>704.7</v>
      </c>
      <c r="J20" s="153">
        <v>0</v>
      </c>
      <c r="K20" s="152">
        <v>704.7</v>
      </c>
      <c r="L20" s="153">
        <v>0</v>
      </c>
      <c r="M20" s="154">
        <f t="shared" ref="M20" si="83">SUM(N20:P20)</f>
        <v>732.9</v>
      </c>
      <c r="N20" s="153">
        <v>0</v>
      </c>
      <c r="O20" s="155">
        <v>732.9</v>
      </c>
      <c r="P20" s="153">
        <v>0</v>
      </c>
      <c r="Q20" s="176">
        <f t="shared" ref="Q20" si="84">SUM(R20:T20)</f>
        <v>762.2</v>
      </c>
      <c r="R20" s="153">
        <v>0</v>
      </c>
      <c r="S20" s="155">
        <v>762.2</v>
      </c>
      <c r="T20" s="153">
        <v>0</v>
      </c>
      <c r="U20" s="154">
        <f t="shared" ref="U20" si="85">SUM(V20:X20)</f>
        <v>762.2</v>
      </c>
      <c r="V20" s="153">
        <v>0</v>
      </c>
      <c r="W20" s="155">
        <v>762.2</v>
      </c>
      <c r="X20" s="153">
        <v>0</v>
      </c>
      <c r="Y20" s="154">
        <f t="shared" ref="Y20" si="86">SUM(Z20:AB20)</f>
        <v>762.2</v>
      </c>
      <c r="Z20" s="153">
        <v>0</v>
      </c>
      <c r="AA20" s="155">
        <v>762.2</v>
      </c>
      <c r="AB20" s="153">
        <v>0</v>
      </c>
      <c r="AC20" s="154">
        <f t="shared" ref="AC20" si="87">SUM(AD20:AF20)</f>
        <v>762.2</v>
      </c>
      <c r="AD20" s="153">
        <v>0</v>
      </c>
      <c r="AE20" s="155">
        <v>762.2</v>
      </c>
      <c r="AF20" s="153">
        <v>0</v>
      </c>
      <c r="AG20" s="154">
        <f t="shared" ref="AG20" si="88">SUM(AH20:AJ20)</f>
        <v>762.2</v>
      </c>
      <c r="AH20" s="153">
        <v>0</v>
      </c>
      <c r="AI20" s="155">
        <v>762.2</v>
      </c>
      <c r="AJ20" s="153">
        <v>0</v>
      </c>
      <c r="AK20" s="154">
        <f t="shared" ref="AK20" si="89">SUM(AL20:AN20)</f>
        <v>762.2</v>
      </c>
      <c r="AL20" s="153">
        <v>0</v>
      </c>
      <c r="AM20" s="155">
        <v>762.2</v>
      </c>
      <c r="AN20" s="153">
        <v>0</v>
      </c>
      <c r="AO20" s="154">
        <f t="shared" ref="AO20" si="90">SUM(AP20:AR20)</f>
        <v>762.2</v>
      </c>
      <c r="AP20" s="153">
        <v>0</v>
      </c>
      <c r="AQ20" s="155">
        <v>762.2</v>
      </c>
      <c r="AR20" s="153">
        <v>0</v>
      </c>
      <c r="AS20" s="154">
        <f t="shared" ref="AS20" si="91">SUM(AT20:AV20)</f>
        <v>762.2</v>
      </c>
      <c r="AT20" s="153">
        <v>0</v>
      </c>
      <c r="AU20" s="155">
        <v>762.2</v>
      </c>
      <c r="AV20" s="153">
        <v>0</v>
      </c>
      <c r="AW20" s="154">
        <f t="shared" ref="AW20" si="92">SUM(AX20:AZ20)</f>
        <v>762.2</v>
      </c>
      <c r="AX20" s="153">
        <v>0</v>
      </c>
      <c r="AY20" s="155">
        <v>762.2</v>
      </c>
      <c r="AZ20" s="153">
        <v>0</v>
      </c>
    </row>
    <row r="21" spans="1:52" s="70" customFormat="1" ht="46.5" customHeight="1" outlineLevel="2" x14ac:dyDescent="0.25">
      <c r="A21" s="157" t="s">
        <v>317</v>
      </c>
      <c r="B21" s="151" t="s">
        <v>345</v>
      </c>
      <c r="C21" s="71" t="s">
        <v>60</v>
      </c>
      <c r="D21" s="71" t="s">
        <v>328</v>
      </c>
      <c r="E21" s="162">
        <f t="shared" ref="E21:E22" si="93">SUM(F21:H21)</f>
        <v>1544.7000000000003</v>
      </c>
      <c r="F21" s="163">
        <f t="shared" ref="F21:F22" si="94">J21+N21+R21+V21+Z21+AD21+AH21+AL21+AP21+AT21+AX21</f>
        <v>0</v>
      </c>
      <c r="G21" s="163">
        <f t="shared" ref="G21:G22" si="95">K21+O21+S21+W21+AA21+AE21+AI21+AM21+AQ21+AU21+AY21</f>
        <v>1544.7000000000003</v>
      </c>
      <c r="H21" s="163">
        <f t="shared" ref="H21:H22" si="96">L21+P21+T21+X21+AB21+AF21+AJ21+AN21+AR21+AV21+AZ21</f>
        <v>0</v>
      </c>
      <c r="I21" s="154">
        <f t="shared" ref="I21:I22" si="97">K21</f>
        <v>131.19999999999999</v>
      </c>
      <c r="J21" s="153"/>
      <c r="K21" s="152">
        <v>131.19999999999999</v>
      </c>
      <c r="L21" s="153">
        <v>0</v>
      </c>
      <c r="M21" s="154">
        <f t="shared" ref="M21:M22" si="98">SUM(N21:P21)</f>
        <v>136.4</v>
      </c>
      <c r="N21" s="153">
        <v>0</v>
      </c>
      <c r="O21" s="155">
        <v>136.4</v>
      </c>
      <c r="P21" s="153">
        <v>0</v>
      </c>
      <c r="Q21" s="176">
        <f t="shared" ref="Q21" si="99">SUM(R21:T21)</f>
        <v>141.9</v>
      </c>
      <c r="R21" s="153">
        <v>0</v>
      </c>
      <c r="S21" s="155">
        <v>141.9</v>
      </c>
      <c r="T21" s="153">
        <v>0</v>
      </c>
      <c r="U21" s="154">
        <f t="shared" ref="U21" si="100">SUM(V21:X21)</f>
        <v>141.9</v>
      </c>
      <c r="V21" s="153">
        <v>0</v>
      </c>
      <c r="W21" s="155">
        <v>141.9</v>
      </c>
      <c r="X21" s="153">
        <v>0</v>
      </c>
      <c r="Y21" s="154">
        <f t="shared" ref="Y21" si="101">SUM(Z21:AB21)</f>
        <v>141.9</v>
      </c>
      <c r="Z21" s="153">
        <v>0</v>
      </c>
      <c r="AA21" s="155">
        <v>141.9</v>
      </c>
      <c r="AB21" s="153">
        <v>0</v>
      </c>
      <c r="AC21" s="154">
        <f t="shared" ref="AC21" si="102">SUM(AD21:AF21)</f>
        <v>141.9</v>
      </c>
      <c r="AD21" s="153">
        <v>0</v>
      </c>
      <c r="AE21" s="155">
        <v>141.9</v>
      </c>
      <c r="AF21" s="153">
        <v>0</v>
      </c>
      <c r="AG21" s="154">
        <f t="shared" ref="AG21" si="103">SUM(AH21:AJ21)</f>
        <v>141.9</v>
      </c>
      <c r="AH21" s="153">
        <v>0</v>
      </c>
      <c r="AI21" s="155">
        <v>141.9</v>
      </c>
      <c r="AJ21" s="153">
        <v>0</v>
      </c>
      <c r="AK21" s="154">
        <f t="shared" ref="AK21" si="104">SUM(AL21:AN21)</f>
        <v>141.9</v>
      </c>
      <c r="AL21" s="153">
        <v>0</v>
      </c>
      <c r="AM21" s="155">
        <v>141.9</v>
      </c>
      <c r="AN21" s="153">
        <v>0</v>
      </c>
      <c r="AO21" s="154">
        <f t="shared" ref="AO21" si="105">SUM(AP21:AR21)</f>
        <v>141.9</v>
      </c>
      <c r="AP21" s="153">
        <v>0</v>
      </c>
      <c r="AQ21" s="155">
        <v>141.9</v>
      </c>
      <c r="AR21" s="153">
        <v>0</v>
      </c>
      <c r="AS21" s="154">
        <f t="shared" ref="AS21" si="106">SUM(AT21:AV21)</f>
        <v>141.9</v>
      </c>
      <c r="AT21" s="153">
        <v>0</v>
      </c>
      <c r="AU21" s="155">
        <v>141.9</v>
      </c>
      <c r="AV21" s="153">
        <v>0</v>
      </c>
      <c r="AW21" s="154">
        <f t="shared" ref="AW21" si="107">SUM(AX21:AZ21)</f>
        <v>141.9</v>
      </c>
      <c r="AX21" s="153">
        <v>0</v>
      </c>
      <c r="AY21" s="155">
        <v>141.9</v>
      </c>
      <c r="AZ21" s="153">
        <v>0</v>
      </c>
    </row>
    <row r="22" spans="1:52" s="70" customFormat="1" ht="42.75" customHeight="1" outlineLevel="2" x14ac:dyDescent="0.25">
      <c r="A22" s="157" t="s">
        <v>318</v>
      </c>
      <c r="B22" s="151" t="s">
        <v>310</v>
      </c>
      <c r="C22" s="71" t="s">
        <v>60</v>
      </c>
      <c r="D22" s="71" t="s">
        <v>328</v>
      </c>
      <c r="E22" s="162">
        <f t="shared" si="93"/>
        <v>3651.2000000000007</v>
      </c>
      <c r="F22" s="163">
        <f t="shared" si="94"/>
        <v>0</v>
      </c>
      <c r="G22" s="163">
        <f t="shared" si="95"/>
        <v>3651.2000000000007</v>
      </c>
      <c r="H22" s="163">
        <f t="shared" si="96"/>
        <v>0</v>
      </c>
      <c r="I22" s="154">
        <f t="shared" si="97"/>
        <v>310.10000000000002</v>
      </c>
      <c r="J22" s="153"/>
      <c r="K22" s="152">
        <v>310.10000000000002</v>
      </c>
      <c r="L22" s="153">
        <v>0</v>
      </c>
      <c r="M22" s="154">
        <f t="shared" si="98"/>
        <v>322.5</v>
      </c>
      <c r="N22" s="153">
        <v>0</v>
      </c>
      <c r="O22" s="155">
        <v>322.5</v>
      </c>
      <c r="P22" s="153">
        <v>0</v>
      </c>
      <c r="Q22" s="176">
        <f t="shared" ref="Q22" si="108">SUM(R22:T22)</f>
        <v>335.4</v>
      </c>
      <c r="R22" s="153">
        <v>0</v>
      </c>
      <c r="S22" s="155">
        <v>335.4</v>
      </c>
      <c r="T22" s="153">
        <v>0</v>
      </c>
      <c r="U22" s="154">
        <f t="shared" ref="U22" si="109">SUM(V22:X22)</f>
        <v>335.4</v>
      </c>
      <c r="V22" s="153">
        <v>0</v>
      </c>
      <c r="W22" s="155">
        <v>335.4</v>
      </c>
      <c r="X22" s="153">
        <v>0</v>
      </c>
      <c r="Y22" s="154">
        <f t="shared" ref="Y22" si="110">SUM(Z22:AB22)</f>
        <v>335.4</v>
      </c>
      <c r="Z22" s="153">
        <v>0</v>
      </c>
      <c r="AA22" s="155">
        <v>335.4</v>
      </c>
      <c r="AB22" s="153">
        <v>0</v>
      </c>
      <c r="AC22" s="154">
        <f t="shared" ref="AC22" si="111">SUM(AD22:AF22)</f>
        <v>335.4</v>
      </c>
      <c r="AD22" s="153">
        <v>0</v>
      </c>
      <c r="AE22" s="155">
        <v>335.4</v>
      </c>
      <c r="AF22" s="153">
        <v>0</v>
      </c>
      <c r="AG22" s="154">
        <f t="shared" ref="AG22" si="112">SUM(AH22:AJ22)</f>
        <v>335.4</v>
      </c>
      <c r="AH22" s="153">
        <v>0</v>
      </c>
      <c r="AI22" s="155">
        <v>335.4</v>
      </c>
      <c r="AJ22" s="153">
        <v>0</v>
      </c>
      <c r="AK22" s="154">
        <f t="shared" ref="AK22" si="113">SUM(AL22:AN22)</f>
        <v>335.4</v>
      </c>
      <c r="AL22" s="153">
        <v>0</v>
      </c>
      <c r="AM22" s="155">
        <v>335.4</v>
      </c>
      <c r="AN22" s="153">
        <v>0</v>
      </c>
      <c r="AO22" s="154">
        <f t="shared" ref="AO22" si="114">SUM(AP22:AR22)</f>
        <v>335.4</v>
      </c>
      <c r="AP22" s="153">
        <v>0</v>
      </c>
      <c r="AQ22" s="155">
        <v>335.4</v>
      </c>
      <c r="AR22" s="153">
        <v>0</v>
      </c>
      <c r="AS22" s="154">
        <f t="shared" ref="AS22" si="115">SUM(AT22:AV22)</f>
        <v>335.4</v>
      </c>
      <c r="AT22" s="153">
        <v>0</v>
      </c>
      <c r="AU22" s="155">
        <v>335.4</v>
      </c>
      <c r="AV22" s="153">
        <v>0</v>
      </c>
      <c r="AW22" s="154">
        <f t="shared" ref="AW22" si="116">SUM(AX22:AZ22)</f>
        <v>335.4</v>
      </c>
      <c r="AX22" s="153">
        <v>0</v>
      </c>
      <c r="AY22" s="155">
        <v>335.4</v>
      </c>
      <c r="AZ22" s="153">
        <v>0</v>
      </c>
    </row>
    <row r="23" spans="1:52" s="70" customFormat="1" ht="42.75" customHeight="1" outlineLevel="2" x14ac:dyDescent="0.25">
      <c r="A23" s="157" t="s">
        <v>319</v>
      </c>
      <c r="B23" s="151" t="s">
        <v>302</v>
      </c>
      <c r="C23" s="71" t="s">
        <v>60</v>
      </c>
      <c r="D23" s="71" t="s">
        <v>328</v>
      </c>
      <c r="E23" s="162">
        <f t="shared" ref="E23" si="117">SUM(F23:H23)</f>
        <v>11583.900000000001</v>
      </c>
      <c r="F23" s="163">
        <f t="shared" ref="F23" si="118">J23+N23+R23+V23+Z23+AD23+AH23+AL23+AP23+AT23+AX23</f>
        <v>0</v>
      </c>
      <c r="G23" s="163">
        <f t="shared" ref="G23" si="119">K23+O23+S23+W23+AA23+AE23+AI23+AM23+AQ23+AU23+AY23</f>
        <v>11583.900000000001</v>
      </c>
      <c r="H23" s="163">
        <f t="shared" ref="H23" si="120">L23+P23+T23+X23+AB23+AF23+AJ23+AN23+AR23+AV23+AZ23</f>
        <v>0</v>
      </c>
      <c r="I23" s="154">
        <f t="shared" ref="I23" si="121">K23</f>
        <v>983.8</v>
      </c>
      <c r="J23" s="153">
        <v>0</v>
      </c>
      <c r="K23" s="152">
        <v>983.8</v>
      </c>
      <c r="L23" s="153">
        <v>0</v>
      </c>
      <c r="M23" s="154">
        <f t="shared" ref="M23" si="122">SUM(N23:P23)</f>
        <v>1023.2</v>
      </c>
      <c r="N23" s="153">
        <v>0</v>
      </c>
      <c r="O23" s="155">
        <v>1023.2</v>
      </c>
      <c r="P23" s="153">
        <v>0</v>
      </c>
      <c r="Q23" s="176">
        <f t="shared" ref="Q23" si="123">SUM(R23:T23)</f>
        <v>1064.0999999999999</v>
      </c>
      <c r="R23" s="153">
        <v>0</v>
      </c>
      <c r="S23" s="155">
        <v>1064.0999999999999</v>
      </c>
      <c r="T23" s="153">
        <v>0</v>
      </c>
      <c r="U23" s="154">
        <f t="shared" ref="U23" si="124">SUM(V23:X23)</f>
        <v>1064.0999999999999</v>
      </c>
      <c r="V23" s="153">
        <v>0</v>
      </c>
      <c r="W23" s="155">
        <v>1064.0999999999999</v>
      </c>
      <c r="X23" s="153">
        <v>0</v>
      </c>
      <c r="Y23" s="154">
        <f t="shared" ref="Y23" si="125">SUM(Z23:AB23)</f>
        <v>1064.0999999999999</v>
      </c>
      <c r="Z23" s="153">
        <v>0</v>
      </c>
      <c r="AA23" s="155">
        <v>1064.0999999999999</v>
      </c>
      <c r="AB23" s="153">
        <v>0</v>
      </c>
      <c r="AC23" s="154">
        <f t="shared" ref="AC23" si="126">SUM(AD23:AF23)</f>
        <v>1064.0999999999999</v>
      </c>
      <c r="AD23" s="153">
        <v>0</v>
      </c>
      <c r="AE23" s="155">
        <v>1064.0999999999999</v>
      </c>
      <c r="AF23" s="153">
        <v>0</v>
      </c>
      <c r="AG23" s="154">
        <f t="shared" ref="AG23" si="127">SUM(AH23:AJ23)</f>
        <v>1064.0999999999999</v>
      </c>
      <c r="AH23" s="153">
        <v>0</v>
      </c>
      <c r="AI23" s="155">
        <v>1064.0999999999999</v>
      </c>
      <c r="AJ23" s="153">
        <v>0</v>
      </c>
      <c r="AK23" s="154">
        <f t="shared" ref="AK23" si="128">SUM(AL23:AN23)</f>
        <v>1064.0999999999999</v>
      </c>
      <c r="AL23" s="153">
        <v>0</v>
      </c>
      <c r="AM23" s="155">
        <v>1064.0999999999999</v>
      </c>
      <c r="AN23" s="153">
        <v>0</v>
      </c>
      <c r="AO23" s="154">
        <f t="shared" ref="AO23" si="129">SUM(AP23:AR23)</f>
        <v>1064.0999999999999</v>
      </c>
      <c r="AP23" s="153">
        <v>0</v>
      </c>
      <c r="AQ23" s="155">
        <v>1064.0999999999999</v>
      </c>
      <c r="AR23" s="153">
        <v>0</v>
      </c>
      <c r="AS23" s="154">
        <f t="shared" ref="AS23" si="130">SUM(AT23:AV23)</f>
        <v>1064.0999999999999</v>
      </c>
      <c r="AT23" s="153">
        <v>0</v>
      </c>
      <c r="AU23" s="155">
        <v>1064.0999999999999</v>
      </c>
      <c r="AV23" s="153">
        <v>0</v>
      </c>
      <c r="AW23" s="154">
        <f t="shared" ref="AW23" si="131">SUM(AX23:AZ23)</f>
        <v>1064.0999999999999</v>
      </c>
      <c r="AX23" s="153">
        <v>0</v>
      </c>
      <c r="AY23" s="155">
        <v>1064.0999999999999</v>
      </c>
      <c r="AZ23" s="153">
        <v>0</v>
      </c>
    </row>
    <row r="24" spans="1:52" s="70" customFormat="1" ht="42" customHeight="1" outlineLevel="2" x14ac:dyDescent="0.25">
      <c r="A24" s="157" t="s">
        <v>320</v>
      </c>
      <c r="B24" s="151" t="s">
        <v>303</v>
      </c>
      <c r="C24" s="71" t="s">
        <v>60</v>
      </c>
      <c r="D24" s="71" t="s">
        <v>328</v>
      </c>
      <c r="E24" s="162">
        <f t="shared" ref="E24:E27" si="132">SUM(F24:H24)</f>
        <v>10301.499999999998</v>
      </c>
      <c r="F24" s="163">
        <f t="shared" ref="F24:F27" si="133">J24+N24+R24+V24+Z24+AD24+AH24+AL24+AP24+AT24+AX24</f>
        <v>0</v>
      </c>
      <c r="G24" s="163">
        <f t="shared" ref="G24:G27" si="134">K24+O24+S24+W24+AA24+AE24+AI24+AM24+AQ24+AU24+AY24</f>
        <v>10301.499999999998</v>
      </c>
      <c r="H24" s="163">
        <f t="shared" ref="H24:H27" si="135">L24+P24+T24+X24+AB24+AF24+AJ24+AN24+AR24+AV24+AZ24</f>
        <v>0</v>
      </c>
      <c r="I24" s="154">
        <f t="shared" ref="I24:I27" si="136">K24</f>
        <v>874.9</v>
      </c>
      <c r="J24" s="153">
        <v>0</v>
      </c>
      <c r="K24" s="152">
        <v>874.9</v>
      </c>
      <c r="L24" s="153">
        <v>0</v>
      </c>
      <c r="M24" s="154">
        <f t="shared" ref="M24:M27" si="137">SUM(N24:P24)</f>
        <v>909.9</v>
      </c>
      <c r="N24" s="153">
        <v>0</v>
      </c>
      <c r="O24" s="155">
        <v>909.9</v>
      </c>
      <c r="P24" s="153">
        <v>0</v>
      </c>
      <c r="Q24" s="176">
        <f t="shared" ref="Q24" si="138">SUM(R24:T24)</f>
        <v>946.3</v>
      </c>
      <c r="R24" s="153">
        <v>0</v>
      </c>
      <c r="S24" s="155">
        <v>946.3</v>
      </c>
      <c r="T24" s="153">
        <v>0</v>
      </c>
      <c r="U24" s="154">
        <f t="shared" ref="U24" si="139">SUM(V24:X24)</f>
        <v>946.3</v>
      </c>
      <c r="V24" s="153">
        <v>0</v>
      </c>
      <c r="W24" s="155">
        <v>946.3</v>
      </c>
      <c r="X24" s="153">
        <v>0</v>
      </c>
      <c r="Y24" s="154">
        <f t="shared" ref="Y24" si="140">SUM(Z24:AB24)</f>
        <v>946.3</v>
      </c>
      <c r="Z24" s="153">
        <v>0</v>
      </c>
      <c r="AA24" s="155">
        <v>946.3</v>
      </c>
      <c r="AB24" s="153">
        <v>0</v>
      </c>
      <c r="AC24" s="154">
        <f t="shared" ref="AC24" si="141">SUM(AD24:AF24)</f>
        <v>946.3</v>
      </c>
      <c r="AD24" s="153">
        <v>0</v>
      </c>
      <c r="AE24" s="155">
        <v>946.3</v>
      </c>
      <c r="AF24" s="153">
        <v>0</v>
      </c>
      <c r="AG24" s="154">
        <f t="shared" ref="AG24" si="142">SUM(AH24:AJ24)</f>
        <v>946.3</v>
      </c>
      <c r="AH24" s="153">
        <v>0</v>
      </c>
      <c r="AI24" s="155">
        <v>946.3</v>
      </c>
      <c r="AJ24" s="153">
        <v>0</v>
      </c>
      <c r="AK24" s="154">
        <f t="shared" ref="AK24" si="143">SUM(AL24:AN24)</f>
        <v>946.3</v>
      </c>
      <c r="AL24" s="153">
        <v>0</v>
      </c>
      <c r="AM24" s="155">
        <v>946.3</v>
      </c>
      <c r="AN24" s="153">
        <v>0</v>
      </c>
      <c r="AO24" s="154">
        <f t="shared" ref="AO24" si="144">SUM(AP24:AR24)</f>
        <v>946.3</v>
      </c>
      <c r="AP24" s="153">
        <v>0</v>
      </c>
      <c r="AQ24" s="155">
        <v>946.3</v>
      </c>
      <c r="AR24" s="153">
        <v>0</v>
      </c>
      <c r="AS24" s="154">
        <f t="shared" ref="AS24" si="145">SUM(AT24:AV24)</f>
        <v>946.3</v>
      </c>
      <c r="AT24" s="153">
        <v>0</v>
      </c>
      <c r="AU24" s="155">
        <v>946.3</v>
      </c>
      <c r="AV24" s="153">
        <v>0</v>
      </c>
      <c r="AW24" s="154">
        <f t="shared" ref="AW24" si="146">SUM(AX24:AZ24)</f>
        <v>946.3</v>
      </c>
      <c r="AX24" s="153">
        <v>0</v>
      </c>
      <c r="AY24" s="155">
        <v>946.3</v>
      </c>
      <c r="AZ24" s="153">
        <v>0</v>
      </c>
    </row>
    <row r="25" spans="1:52" s="70" customFormat="1" ht="42" customHeight="1" outlineLevel="2" x14ac:dyDescent="0.25">
      <c r="A25" s="157" t="s">
        <v>321</v>
      </c>
      <c r="B25" s="151" t="s">
        <v>338</v>
      </c>
      <c r="C25" s="71" t="s">
        <v>60</v>
      </c>
      <c r="D25" s="71" t="s">
        <v>328</v>
      </c>
      <c r="E25" s="162">
        <f t="shared" si="132"/>
        <v>4504.7000000000007</v>
      </c>
      <c r="F25" s="163">
        <f t="shared" si="133"/>
        <v>0</v>
      </c>
      <c r="G25" s="163">
        <f t="shared" si="134"/>
        <v>4504.7000000000007</v>
      </c>
      <c r="H25" s="163">
        <f t="shared" si="135"/>
        <v>0</v>
      </c>
      <c r="I25" s="154">
        <f t="shared" si="136"/>
        <v>382.6</v>
      </c>
      <c r="J25" s="153"/>
      <c r="K25" s="152">
        <v>382.6</v>
      </c>
      <c r="L25" s="153">
        <v>0</v>
      </c>
      <c r="M25" s="154">
        <f t="shared" si="137"/>
        <v>397.9</v>
      </c>
      <c r="N25" s="153">
        <v>0</v>
      </c>
      <c r="O25" s="155">
        <v>397.9</v>
      </c>
      <c r="P25" s="153">
        <v>0</v>
      </c>
      <c r="Q25" s="176">
        <f t="shared" ref="Q25" si="147">SUM(R25:T25)</f>
        <v>413.8</v>
      </c>
      <c r="R25" s="153">
        <v>0</v>
      </c>
      <c r="S25" s="155">
        <v>413.8</v>
      </c>
      <c r="T25" s="153">
        <v>0</v>
      </c>
      <c r="U25" s="154">
        <f t="shared" ref="U25" si="148">SUM(V25:X25)</f>
        <v>413.8</v>
      </c>
      <c r="V25" s="153">
        <v>0</v>
      </c>
      <c r="W25" s="155">
        <v>413.8</v>
      </c>
      <c r="X25" s="153">
        <v>0</v>
      </c>
      <c r="Y25" s="154">
        <f t="shared" ref="Y25" si="149">SUM(Z25:AB25)</f>
        <v>413.8</v>
      </c>
      <c r="Z25" s="153">
        <v>0</v>
      </c>
      <c r="AA25" s="155">
        <v>413.8</v>
      </c>
      <c r="AB25" s="153">
        <v>0</v>
      </c>
      <c r="AC25" s="154">
        <f t="shared" ref="AC25" si="150">SUM(AD25:AF25)</f>
        <v>413.8</v>
      </c>
      <c r="AD25" s="153">
        <v>0</v>
      </c>
      <c r="AE25" s="155">
        <v>413.8</v>
      </c>
      <c r="AF25" s="153">
        <v>0</v>
      </c>
      <c r="AG25" s="154">
        <f t="shared" ref="AG25" si="151">SUM(AH25:AJ25)</f>
        <v>413.8</v>
      </c>
      <c r="AH25" s="153">
        <v>0</v>
      </c>
      <c r="AI25" s="155">
        <v>413.8</v>
      </c>
      <c r="AJ25" s="153">
        <v>0</v>
      </c>
      <c r="AK25" s="154">
        <f t="shared" ref="AK25" si="152">SUM(AL25:AN25)</f>
        <v>413.8</v>
      </c>
      <c r="AL25" s="153">
        <v>0</v>
      </c>
      <c r="AM25" s="155">
        <v>413.8</v>
      </c>
      <c r="AN25" s="153">
        <v>0</v>
      </c>
      <c r="AO25" s="154">
        <f t="shared" ref="AO25" si="153">SUM(AP25:AR25)</f>
        <v>413.8</v>
      </c>
      <c r="AP25" s="153">
        <v>0</v>
      </c>
      <c r="AQ25" s="155">
        <v>413.8</v>
      </c>
      <c r="AR25" s="153">
        <v>0</v>
      </c>
      <c r="AS25" s="154">
        <f t="shared" ref="AS25" si="154">SUM(AT25:AV25)</f>
        <v>413.8</v>
      </c>
      <c r="AT25" s="153">
        <v>0</v>
      </c>
      <c r="AU25" s="155">
        <v>413.8</v>
      </c>
      <c r="AV25" s="153">
        <v>0</v>
      </c>
      <c r="AW25" s="154">
        <f t="shared" ref="AW25" si="155">SUM(AX25:AZ25)</f>
        <v>413.8</v>
      </c>
      <c r="AX25" s="153">
        <v>0</v>
      </c>
      <c r="AY25" s="155">
        <v>413.8</v>
      </c>
      <c r="AZ25" s="153">
        <v>0</v>
      </c>
    </row>
    <row r="26" spans="1:52" s="70" customFormat="1" ht="42" customHeight="1" outlineLevel="2" x14ac:dyDescent="0.25">
      <c r="A26" s="157" t="s">
        <v>322</v>
      </c>
      <c r="B26" s="151" t="s">
        <v>311</v>
      </c>
      <c r="C26" s="71" t="s">
        <v>60</v>
      </c>
      <c r="D26" s="71" t="s">
        <v>328</v>
      </c>
      <c r="E26" s="162">
        <f t="shared" si="132"/>
        <v>5285.1</v>
      </c>
      <c r="F26" s="163">
        <f t="shared" si="133"/>
        <v>0</v>
      </c>
      <c r="G26" s="163">
        <f t="shared" si="134"/>
        <v>5285.1</v>
      </c>
      <c r="H26" s="163">
        <f t="shared" si="135"/>
        <v>0</v>
      </c>
      <c r="I26" s="154">
        <f t="shared" si="136"/>
        <v>448.8</v>
      </c>
      <c r="J26" s="153"/>
      <c r="K26" s="152">
        <v>448.8</v>
      </c>
      <c r="L26" s="153">
        <v>0</v>
      </c>
      <c r="M26" s="154">
        <f t="shared" si="137"/>
        <v>466.8</v>
      </c>
      <c r="N26" s="153">
        <v>0</v>
      </c>
      <c r="O26" s="155">
        <v>466.8</v>
      </c>
      <c r="P26" s="153">
        <v>0</v>
      </c>
      <c r="Q26" s="176">
        <f t="shared" ref="Q26:Q27" si="156">SUM(R26:T26)</f>
        <v>485.5</v>
      </c>
      <c r="R26" s="153">
        <v>0</v>
      </c>
      <c r="S26" s="155">
        <v>485.5</v>
      </c>
      <c r="T26" s="153">
        <v>0</v>
      </c>
      <c r="U26" s="154">
        <f t="shared" ref="U26:U27" si="157">SUM(V26:X26)</f>
        <v>485.5</v>
      </c>
      <c r="V26" s="153">
        <v>0</v>
      </c>
      <c r="W26" s="155">
        <v>485.5</v>
      </c>
      <c r="X26" s="153">
        <v>0</v>
      </c>
      <c r="Y26" s="154">
        <f t="shared" ref="Y26:Y27" si="158">SUM(Z26:AB26)</f>
        <v>485.5</v>
      </c>
      <c r="Z26" s="153">
        <v>0</v>
      </c>
      <c r="AA26" s="155">
        <v>485.5</v>
      </c>
      <c r="AB26" s="153">
        <v>0</v>
      </c>
      <c r="AC26" s="154">
        <f t="shared" ref="AC26:AC27" si="159">SUM(AD26:AF26)</f>
        <v>485.5</v>
      </c>
      <c r="AD26" s="153">
        <v>0</v>
      </c>
      <c r="AE26" s="155">
        <v>485.5</v>
      </c>
      <c r="AF26" s="153">
        <v>0</v>
      </c>
      <c r="AG26" s="154">
        <f t="shared" ref="AG26:AG27" si="160">SUM(AH26:AJ26)</f>
        <v>485.5</v>
      </c>
      <c r="AH26" s="153">
        <v>0</v>
      </c>
      <c r="AI26" s="155">
        <v>485.5</v>
      </c>
      <c r="AJ26" s="153">
        <v>0</v>
      </c>
      <c r="AK26" s="154">
        <f t="shared" ref="AK26:AK27" si="161">SUM(AL26:AN26)</f>
        <v>485.5</v>
      </c>
      <c r="AL26" s="153">
        <v>0</v>
      </c>
      <c r="AM26" s="155">
        <v>485.5</v>
      </c>
      <c r="AN26" s="153">
        <v>0</v>
      </c>
      <c r="AO26" s="154">
        <f t="shared" ref="AO26:AO27" si="162">SUM(AP26:AR26)</f>
        <v>485.5</v>
      </c>
      <c r="AP26" s="153">
        <v>0</v>
      </c>
      <c r="AQ26" s="155">
        <v>485.5</v>
      </c>
      <c r="AR26" s="153">
        <v>0</v>
      </c>
      <c r="AS26" s="154">
        <f t="shared" ref="AS26:AS27" si="163">SUM(AT26:AV26)</f>
        <v>485.5</v>
      </c>
      <c r="AT26" s="153">
        <v>0</v>
      </c>
      <c r="AU26" s="155">
        <v>485.5</v>
      </c>
      <c r="AV26" s="153">
        <v>0</v>
      </c>
      <c r="AW26" s="154">
        <f t="shared" ref="AW26:AW27" si="164">SUM(AX26:AZ26)</f>
        <v>485.5</v>
      </c>
      <c r="AX26" s="153">
        <v>0</v>
      </c>
      <c r="AY26" s="155">
        <v>485.5</v>
      </c>
      <c r="AZ26" s="153">
        <v>0</v>
      </c>
    </row>
    <row r="27" spans="1:52" s="70" customFormat="1" ht="42" customHeight="1" outlineLevel="2" x14ac:dyDescent="0.25">
      <c r="A27" s="157" t="s">
        <v>323</v>
      </c>
      <c r="B27" s="151" t="s">
        <v>339</v>
      </c>
      <c r="C27" s="71" t="s">
        <v>60</v>
      </c>
      <c r="D27" s="71" t="s">
        <v>328</v>
      </c>
      <c r="E27" s="162">
        <f t="shared" si="132"/>
        <v>5635.7999999999993</v>
      </c>
      <c r="F27" s="163">
        <f t="shared" si="133"/>
        <v>0</v>
      </c>
      <c r="G27" s="163">
        <f t="shared" si="134"/>
        <v>5635.7999999999993</v>
      </c>
      <c r="H27" s="163">
        <f t="shared" si="135"/>
        <v>0</v>
      </c>
      <c r="I27" s="154">
        <f t="shared" si="136"/>
        <v>478.7</v>
      </c>
      <c r="J27" s="153">
        <v>0</v>
      </c>
      <c r="K27" s="152">
        <v>478.7</v>
      </c>
      <c r="L27" s="153">
        <v>0</v>
      </c>
      <c r="M27" s="154">
        <f t="shared" si="137"/>
        <v>497.8</v>
      </c>
      <c r="N27" s="153">
        <v>0</v>
      </c>
      <c r="O27" s="155">
        <v>497.8</v>
      </c>
      <c r="P27" s="153">
        <v>0</v>
      </c>
      <c r="Q27" s="176">
        <f t="shared" si="156"/>
        <v>517.70000000000005</v>
      </c>
      <c r="R27" s="153">
        <v>0</v>
      </c>
      <c r="S27" s="155">
        <v>517.70000000000005</v>
      </c>
      <c r="T27" s="153">
        <v>0</v>
      </c>
      <c r="U27" s="154">
        <f t="shared" si="157"/>
        <v>517.70000000000005</v>
      </c>
      <c r="V27" s="153">
        <v>0</v>
      </c>
      <c r="W27" s="155">
        <v>517.70000000000005</v>
      </c>
      <c r="X27" s="153">
        <v>0</v>
      </c>
      <c r="Y27" s="154">
        <f t="shared" si="158"/>
        <v>517.70000000000005</v>
      </c>
      <c r="Z27" s="153">
        <v>0</v>
      </c>
      <c r="AA27" s="155">
        <v>517.70000000000005</v>
      </c>
      <c r="AB27" s="153">
        <v>0</v>
      </c>
      <c r="AC27" s="154">
        <f t="shared" si="159"/>
        <v>517.70000000000005</v>
      </c>
      <c r="AD27" s="153">
        <v>0</v>
      </c>
      <c r="AE27" s="155">
        <v>517.70000000000005</v>
      </c>
      <c r="AF27" s="153">
        <v>0</v>
      </c>
      <c r="AG27" s="154">
        <f t="shared" si="160"/>
        <v>517.70000000000005</v>
      </c>
      <c r="AH27" s="153">
        <v>0</v>
      </c>
      <c r="AI27" s="155">
        <v>517.70000000000005</v>
      </c>
      <c r="AJ27" s="153">
        <v>0</v>
      </c>
      <c r="AK27" s="154">
        <f t="shared" si="161"/>
        <v>517.70000000000005</v>
      </c>
      <c r="AL27" s="153">
        <v>0</v>
      </c>
      <c r="AM27" s="155">
        <v>517.70000000000005</v>
      </c>
      <c r="AN27" s="153">
        <v>0</v>
      </c>
      <c r="AO27" s="154">
        <f t="shared" si="162"/>
        <v>517.70000000000005</v>
      </c>
      <c r="AP27" s="153">
        <v>0</v>
      </c>
      <c r="AQ27" s="155">
        <v>517.70000000000005</v>
      </c>
      <c r="AR27" s="153">
        <v>0</v>
      </c>
      <c r="AS27" s="154">
        <f t="shared" si="163"/>
        <v>517.70000000000005</v>
      </c>
      <c r="AT27" s="153">
        <v>0</v>
      </c>
      <c r="AU27" s="155">
        <v>517.70000000000005</v>
      </c>
      <c r="AV27" s="153">
        <v>0</v>
      </c>
      <c r="AW27" s="154">
        <f t="shared" si="164"/>
        <v>517.70000000000005</v>
      </c>
      <c r="AX27" s="153">
        <v>0</v>
      </c>
      <c r="AY27" s="155">
        <v>517.70000000000005</v>
      </c>
      <c r="AZ27" s="153">
        <v>0</v>
      </c>
    </row>
    <row r="28" spans="1:52" s="70" customFormat="1" ht="42" customHeight="1" outlineLevel="2" x14ac:dyDescent="0.25">
      <c r="A28" s="157" t="s">
        <v>340</v>
      </c>
      <c r="B28" s="151" t="s">
        <v>312</v>
      </c>
      <c r="C28" s="71" t="s">
        <v>60</v>
      </c>
      <c r="D28" s="71" t="s">
        <v>328</v>
      </c>
      <c r="E28" s="162">
        <f t="shared" ref="E28" si="165">SUM(F28:H28)</f>
        <v>4408.8</v>
      </c>
      <c r="F28" s="163">
        <f t="shared" ref="F28" si="166">J28+N28+R28+V28+Z28+AD28+AH28+AL28+AP28+AT28+AX28</f>
        <v>0</v>
      </c>
      <c r="G28" s="163">
        <f t="shared" ref="G28" si="167">K28+O28+S28+W28+AA28+AE28+AI28+AM28+AQ28+AU28+AY28</f>
        <v>4408.8</v>
      </c>
      <c r="H28" s="163">
        <f t="shared" ref="H28" si="168">L28+P28+T28+X28+AB28+AF28+AJ28+AN28+AR28+AV28+AZ28</f>
        <v>0</v>
      </c>
      <c r="I28" s="154">
        <f t="shared" ref="I28" si="169">K28</f>
        <v>374.4</v>
      </c>
      <c r="J28" s="153"/>
      <c r="K28" s="152">
        <v>374.4</v>
      </c>
      <c r="L28" s="153">
        <v>0</v>
      </c>
      <c r="M28" s="154">
        <f t="shared" ref="M28" si="170">SUM(N28:P28)</f>
        <v>389.4</v>
      </c>
      <c r="N28" s="153">
        <v>0</v>
      </c>
      <c r="O28" s="155">
        <v>389.4</v>
      </c>
      <c r="P28" s="153">
        <v>0</v>
      </c>
      <c r="Q28" s="176">
        <f t="shared" ref="Q28" si="171">SUM(R28:T28)</f>
        <v>405</v>
      </c>
      <c r="R28" s="153">
        <v>0</v>
      </c>
      <c r="S28" s="155">
        <v>405</v>
      </c>
      <c r="T28" s="153">
        <v>0</v>
      </c>
      <c r="U28" s="154">
        <f t="shared" ref="U28" si="172">SUM(V28:X28)</f>
        <v>405</v>
      </c>
      <c r="V28" s="153">
        <v>0</v>
      </c>
      <c r="W28" s="155">
        <v>405</v>
      </c>
      <c r="X28" s="153">
        <v>0</v>
      </c>
      <c r="Y28" s="154">
        <f t="shared" ref="Y28" si="173">SUM(Z28:AB28)</f>
        <v>405</v>
      </c>
      <c r="Z28" s="153">
        <v>0</v>
      </c>
      <c r="AA28" s="155">
        <v>405</v>
      </c>
      <c r="AB28" s="153">
        <v>0</v>
      </c>
      <c r="AC28" s="154">
        <f t="shared" ref="AC28" si="174">SUM(AD28:AF28)</f>
        <v>405</v>
      </c>
      <c r="AD28" s="153">
        <v>0</v>
      </c>
      <c r="AE28" s="155">
        <v>405</v>
      </c>
      <c r="AF28" s="153">
        <v>0</v>
      </c>
      <c r="AG28" s="154">
        <f t="shared" ref="AG28" si="175">SUM(AH28:AJ28)</f>
        <v>405</v>
      </c>
      <c r="AH28" s="153">
        <v>0</v>
      </c>
      <c r="AI28" s="155">
        <v>405</v>
      </c>
      <c r="AJ28" s="153">
        <v>0</v>
      </c>
      <c r="AK28" s="154">
        <f t="shared" ref="AK28" si="176">SUM(AL28:AN28)</f>
        <v>405</v>
      </c>
      <c r="AL28" s="153">
        <v>0</v>
      </c>
      <c r="AM28" s="155">
        <v>405</v>
      </c>
      <c r="AN28" s="153">
        <v>0</v>
      </c>
      <c r="AO28" s="154">
        <f t="shared" ref="AO28" si="177">SUM(AP28:AR28)</f>
        <v>405</v>
      </c>
      <c r="AP28" s="153">
        <v>0</v>
      </c>
      <c r="AQ28" s="155">
        <v>405</v>
      </c>
      <c r="AR28" s="153">
        <v>0</v>
      </c>
      <c r="AS28" s="154">
        <f t="shared" ref="AS28" si="178">SUM(AT28:AV28)</f>
        <v>405</v>
      </c>
      <c r="AT28" s="153">
        <v>0</v>
      </c>
      <c r="AU28" s="155">
        <v>405</v>
      </c>
      <c r="AV28" s="153">
        <v>0</v>
      </c>
      <c r="AW28" s="154">
        <f t="shared" ref="AW28" si="179">SUM(AX28:AZ28)</f>
        <v>405</v>
      </c>
      <c r="AX28" s="153">
        <v>0</v>
      </c>
      <c r="AY28" s="155">
        <v>405</v>
      </c>
      <c r="AZ28" s="153">
        <v>0</v>
      </c>
    </row>
    <row r="29" spans="1:52" s="70" customFormat="1" ht="36.75" customHeight="1" outlineLevel="2" x14ac:dyDescent="0.25">
      <c r="A29" s="157" t="s">
        <v>341</v>
      </c>
      <c r="B29" s="151" t="s">
        <v>313</v>
      </c>
      <c r="C29" s="71" t="s">
        <v>60</v>
      </c>
      <c r="D29" s="71" t="s">
        <v>328</v>
      </c>
      <c r="E29" s="162">
        <f t="shared" ref="E29" si="180">SUM(F29:H29)</f>
        <v>10710.699999999999</v>
      </c>
      <c r="F29" s="163">
        <f t="shared" ref="F29" si="181">J29+N29+R29+V29+Z29+AD29+AH29+AL29+AP29+AT29+AX29</f>
        <v>0</v>
      </c>
      <c r="G29" s="163">
        <f t="shared" ref="G29" si="182">K29+O29+S29+W29+AA29+AE29+AI29+AM29+AQ29+AU29+AY29</f>
        <v>10710.699999999999</v>
      </c>
      <c r="H29" s="163">
        <f t="shared" ref="F29:J34" si="183">L29+P29+T29+X29+AB29+AF29+AJ29+AN29+AR29+AV29+AZ29</f>
        <v>0</v>
      </c>
      <c r="I29" s="154">
        <f t="shared" ref="I29" si="184">K29</f>
        <v>1040</v>
      </c>
      <c r="J29" s="153"/>
      <c r="K29" s="152">
        <v>1040</v>
      </c>
      <c r="L29" s="153">
        <v>0</v>
      </c>
      <c r="M29" s="154">
        <f t="shared" ref="M29" si="185">SUM(N29:P29)</f>
        <v>933.5</v>
      </c>
      <c r="N29" s="153">
        <v>0</v>
      </c>
      <c r="O29" s="155">
        <v>933.5</v>
      </c>
      <c r="P29" s="153">
        <v>0</v>
      </c>
      <c r="Q29" s="176">
        <f t="shared" ref="Q29" si="186">SUM(R29:T29)</f>
        <v>970.8</v>
      </c>
      <c r="R29" s="153">
        <v>0</v>
      </c>
      <c r="S29" s="155">
        <v>970.8</v>
      </c>
      <c r="T29" s="153">
        <v>0</v>
      </c>
      <c r="U29" s="154">
        <f t="shared" ref="U29" si="187">SUM(V29:X29)</f>
        <v>970.8</v>
      </c>
      <c r="V29" s="153">
        <v>0</v>
      </c>
      <c r="W29" s="155">
        <v>970.8</v>
      </c>
      <c r="X29" s="153">
        <v>0</v>
      </c>
      <c r="Y29" s="154">
        <f t="shared" ref="Y29" si="188">SUM(Z29:AB29)</f>
        <v>970.8</v>
      </c>
      <c r="Z29" s="153">
        <v>0</v>
      </c>
      <c r="AA29" s="155">
        <v>970.8</v>
      </c>
      <c r="AB29" s="153">
        <v>0</v>
      </c>
      <c r="AC29" s="154">
        <f t="shared" ref="AC29" si="189">SUM(AD29:AF29)</f>
        <v>970.8</v>
      </c>
      <c r="AD29" s="153">
        <v>0</v>
      </c>
      <c r="AE29" s="155">
        <v>970.8</v>
      </c>
      <c r="AF29" s="153">
        <v>0</v>
      </c>
      <c r="AG29" s="154">
        <f t="shared" ref="AG29" si="190">SUM(AH29:AJ29)</f>
        <v>970.8</v>
      </c>
      <c r="AH29" s="153">
        <v>0</v>
      </c>
      <c r="AI29" s="155">
        <v>970.8</v>
      </c>
      <c r="AJ29" s="153">
        <v>0</v>
      </c>
      <c r="AK29" s="154">
        <f t="shared" ref="AK29" si="191">SUM(AL29:AN29)</f>
        <v>970.8</v>
      </c>
      <c r="AL29" s="153">
        <v>0</v>
      </c>
      <c r="AM29" s="155">
        <v>970.8</v>
      </c>
      <c r="AN29" s="153">
        <v>0</v>
      </c>
      <c r="AO29" s="154">
        <f t="shared" ref="AO29" si="192">SUM(AP29:AR29)</f>
        <v>970.8</v>
      </c>
      <c r="AP29" s="153">
        <v>0</v>
      </c>
      <c r="AQ29" s="155">
        <v>970.8</v>
      </c>
      <c r="AR29" s="153">
        <v>0</v>
      </c>
      <c r="AS29" s="154">
        <f t="shared" ref="AS29" si="193">SUM(AT29:AV29)</f>
        <v>970.8</v>
      </c>
      <c r="AT29" s="153">
        <v>0</v>
      </c>
      <c r="AU29" s="155">
        <v>970.8</v>
      </c>
      <c r="AV29" s="153">
        <v>0</v>
      </c>
      <c r="AW29" s="154">
        <f t="shared" ref="AW29" si="194">SUM(AX29:AZ29)</f>
        <v>970.8</v>
      </c>
      <c r="AX29" s="153">
        <v>0</v>
      </c>
      <c r="AY29" s="155">
        <v>970.8</v>
      </c>
      <c r="AZ29" s="153">
        <v>0</v>
      </c>
    </row>
    <row r="30" spans="1:52" s="70" customFormat="1" ht="84" customHeight="1" outlineLevel="2" x14ac:dyDescent="0.25">
      <c r="A30" s="164" t="s">
        <v>342</v>
      </c>
      <c r="B30" s="151" t="s">
        <v>331</v>
      </c>
      <c r="C30" s="71" t="s">
        <v>60</v>
      </c>
      <c r="D30" s="71" t="s">
        <v>60</v>
      </c>
      <c r="E30" s="162">
        <f t="shared" ref="E30:E31" si="195">SUM(F30:H30)</f>
        <v>401.6</v>
      </c>
      <c r="F30" s="163">
        <f t="shared" si="183"/>
        <v>0</v>
      </c>
      <c r="G30" s="163">
        <f t="shared" ref="G30:G31" si="196">K30+O30+S30+W30+AA30+AE30+AI30+AM30+AQ30+AU30+AY30</f>
        <v>401.6</v>
      </c>
      <c r="H30" s="163">
        <f t="shared" si="183"/>
        <v>0</v>
      </c>
      <c r="I30" s="154">
        <f t="shared" ref="I30:I31" si="197">K30</f>
        <v>401.6</v>
      </c>
      <c r="J30" s="163">
        <f t="shared" si="183"/>
        <v>0</v>
      </c>
      <c r="K30" s="152">
        <v>401.6</v>
      </c>
      <c r="L30" s="153">
        <v>0</v>
      </c>
      <c r="M30" s="154">
        <f>SUM(N30:P30)</f>
        <v>0</v>
      </c>
      <c r="N30" s="153">
        <v>0</v>
      </c>
      <c r="O30" s="153">
        <v>0</v>
      </c>
      <c r="P30" s="153">
        <v>0</v>
      </c>
      <c r="Q30" s="176">
        <f>SUM(R30:T30)</f>
        <v>0</v>
      </c>
      <c r="R30" s="153">
        <v>0</v>
      </c>
      <c r="S30" s="153">
        <v>0</v>
      </c>
      <c r="T30" s="153">
        <v>0</v>
      </c>
      <c r="U30" s="154">
        <f>SUM(V30:X30)</f>
        <v>0</v>
      </c>
      <c r="V30" s="153">
        <v>0</v>
      </c>
      <c r="W30" s="153">
        <v>0</v>
      </c>
      <c r="X30" s="153">
        <v>0</v>
      </c>
      <c r="Y30" s="154">
        <f>SUM(Z30:AB30)</f>
        <v>0</v>
      </c>
      <c r="Z30" s="153">
        <v>0</v>
      </c>
      <c r="AA30" s="153">
        <v>0</v>
      </c>
      <c r="AB30" s="153">
        <v>0</v>
      </c>
      <c r="AC30" s="154">
        <f>SUM(AD30:AF30)</f>
        <v>0</v>
      </c>
      <c r="AD30" s="153">
        <v>0</v>
      </c>
      <c r="AE30" s="153">
        <v>0</v>
      </c>
      <c r="AF30" s="153">
        <v>0</v>
      </c>
      <c r="AG30" s="154">
        <f>SUM(AH30:AJ30)</f>
        <v>0</v>
      </c>
      <c r="AH30" s="153">
        <v>0</v>
      </c>
      <c r="AI30" s="153">
        <v>0</v>
      </c>
      <c r="AJ30" s="153">
        <v>0</v>
      </c>
      <c r="AK30" s="154">
        <f>SUM(AL30:AN30)</f>
        <v>0</v>
      </c>
      <c r="AL30" s="153">
        <v>0</v>
      </c>
      <c r="AM30" s="153">
        <v>0</v>
      </c>
      <c r="AN30" s="153">
        <v>0</v>
      </c>
      <c r="AO30" s="154">
        <f>SUM(AP30:AR30)</f>
        <v>0</v>
      </c>
      <c r="AP30" s="153">
        <v>0</v>
      </c>
      <c r="AQ30" s="153">
        <v>0</v>
      </c>
      <c r="AR30" s="153">
        <v>0</v>
      </c>
      <c r="AS30" s="154">
        <f>SUM(AT30:AV30)</f>
        <v>0</v>
      </c>
      <c r="AT30" s="153">
        <v>0</v>
      </c>
      <c r="AU30" s="153">
        <v>0</v>
      </c>
      <c r="AV30" s="153">
        <v>0</v>
      </c>
      <c r="AW30" s="154">
        <f>SUM(AX30:AZ30)</f>
        <v>0</v>
      </c>
      <c r="AX30" s="153">
        <v>0</v>
      </c>
      <c r="AY30" s="153">
        <v>0</v>
      </c>
      <c r="AZ30" s="153">
        <v>0</v>
      </c>
    </row>
    <row r="31" spans="1:52" s="70" customFormat="1" ht="39" customHeight="1" outlineLevel="2" x14ac:dyDescent="0.25">
      <c r="A31" s="164" t="s">
        <v>343</v>
      </c>
      <c r="B31" s="151" t="s">
        <v>333</v>
      </c>
      <c r="C31" s="71" t="s">
        <v>60</v>
      </c>
      <c r="D31" s="71" t="s">
        <v>60</v>
      </c>
      <c r="E31" s="162">
        <f t="shared" si="195"/>
        <v>15.600000000000001</v>
      </c>
      <c r="F31" s="163">
        <f t="shared" si="183"/>
        <v>0</v>
      </c>
      <c r="G31" s="163">
        <f t="shared" si="196"/>
        <v>15.600000000000001</v>
      </c>
      <c r="H31" s="163">
        <f t="shared" si="183"/>
        <v>0</v>
      </c>
      <c r="I31" s="154">
        <f t="shared" si="197"/>
        <v>4.3</v>
      </c>
      <c r="J31" s="163">
        <f t="shared" si="183"/>
        <v>0</v>
      </c>
      <c r="K31" s="152">
        <v>4.3</v>
      </c>
      <c r="L31" s="153">
        <v>0</v>
      </c>
      <c r="M31" s="154">
        <f>SUM(N31:P31)</f>
        <v>11.3</v>
      </c>
      <c r="N31" s="153">
        <v>0</v>
      </c>
      <c r="O31" s="153">
        <v>11.3</v>
      </c>
      <c r="P31" s="153">
        <v>0</v>
      </c>
      <c r="Q31" s="176">
        <f>SUM(R31:T31)</f>
        <v>0</v>
      </c>
      <c r="R31" s="153">
        <v>0</v>
      </c>
      <c r="S31" s="153">
        <v>0</v>
      </c>
      <c r="T31" s="153">
        <v>0</v>
      </c>
      <c r="U31" s="154">
        <f>SUM(V31:X31)</f>
        <v>0</v>
      </c>
      <c r="V31" s="153">
        <v>0</v>
      </c>
      <c r="W31" s="153">
        <v>0</v>
      </c>
      <c r="X31" s="153">
        <v>0</v>
      </c>
      <c r="Y31" s="154">
        <f>SUM(Z31:AB31)</f>
        <v>0</v>
      </c>
      <c r="Z31" s="153">
        <v>0</v>
      </c>
      <c r="AA31" s="153">
        <v>0</v>
      </c>
      <c r="AB31" s="153">
        <v>0</v>
      </c>
      <c r="AC31" s="154">
        <f>SUM(AD31:AF31)</f>
        <v>0</v>
      </c>
      <c r="AD31" s="153">
        <v>0</v>
      </c>
      <c r="AE31" s="153">
        <v>0</v>
      </c>
      <c r="AF31" s="153">
        <v>0</v>
      </c>
      <c r="AG31" s="154">
        <f>SUM(AH31:AJ31)</f>
        <v>0</v>
      </c>
      <c r="AH31" s="153">
        <v>0</v>
      </c>
      <c r="AI31" s="153">
        <v>0</v>
      </c>
      <c r="AJ31" s="153">
        <v>0</v>
      </c>
      <c r="AK31" s="154">
        <f>SUM(AL31:AN31)</f>
        <v>0</v>
      </c>
      <c r="AL31" s="153">
        <v>0</v>
      </c>
      <c r="AM31" s="153">
        <v>0</v>
      </c>
      <c r="AN31" s="153">
        <v>0</v>
      </c>
      <c r="AO31" s="154">
        <f>SUM(AP31:AR31)</f>
        <v>0</v>
      </c>
      <c r="AP31" s="153">
        <v>0</v>
      </c>
      <c r="AQ31" s="153">
        <v>0</v>
      </c>
      <c r="AR31" s="153">
        <v>0</v>
      </c>
      <c r="AS31" s="154">
        <f>SUM(AT31:AV31)</f>
        <v>0</v>
      </c>
      <c r="AT31" s="153">
        <v>0</v>
      </c>
      <c r="AU31" s="153">
        <v>0</v>
      </c>
      <c r="AV31" s="153">
        <v>0</v>
      </c>
      <c r="AW31" s="154">
        <f>SUM(AX31:AZ31)</f>
        <v>0</v>
      </c>
      <c r="AX31" s="153">
        <v>0</v>
      </c>
      <c r="AY31" s="153">
        <v>0</v>
      </c>
      <c r="AZ31" s="153">
        <v>0</v>
      </c>
    </row>
    <row r="32" spans="1:52" s="70" customFormat="1" ht="80.25" customHeight="1" outlineLevel="2" x14ac:dyDescent="0.25">
      <c r="A32" s="164" t="s">
        <v>346</v>
      </c>
      <c r="B32" s="179" t="s">
        <v>347</v>
      </c>
      <c r="C32" s="71" t="s">
        <v>60</v>
      </c>
      <c r="D32" s="71" t="s">
        <v>60</v>
      </c>
      <c r="E32" s="162">
        <f t="shared" ref="E32" si="198">SUM(F32:H32)</f>
        <v>714.1</v>
      </c>
      <c r="F32" s="163">
        <f t="shared" ref="F32" si="199">J32+N32+R32+V32+Z32+AD32+AH32+AL32+AP32+AT32+AX32</f>
        <v>0</v>
      </c>
      <c r="G32" s="163">
        <f t="shared" ref="G32" si="200">K32+O32+S32+W32+AA32+AE32+AI32+AM32+AQ32+AU32+AY32</f>
        <v>714.1</v>
      </c>
      <c r="H32" s="163">
        <f t="shared" ref="H32" si="201">L32+P32+T32+X32+AB32+AF32+AJ32+AN32+AR32+AV32+AZ32</f>
        <v>0</v>
      </c>
      <c r="I32" s="154">
        <f t="shared" ref="I32" si="202">K32</f>
        <v>714.1</v>
      </c>
      <c r="J32" s="163">
        <f t="shared" ref="J32" si="203">N32+R32+V32+Z32+AD32+AH32+AL32+AP32+AT32+AX32+BB32</f>
        <v>0</v>
      </c>
      <c r="K32" s="152">
        <v>714.1</v>
      </c>
      <c r="L32" s="153">
        <v>0</v>
      </c>
      <c r="M32" s="154">
        <f>SUM(N32:P32)</f>
        <v>0</v>
      </c>
      <c r="N32" s="153">
        <v>0</v>
      </c>
      <c r="O32" s="153">
        <v>0</v>
      </c>
      <c r="P32" s="153">
        <v>0</v>
      </c>
      <c r="Q32" s="176">
        <f>SUM(R32:T32)</f>
        <v>0</v>
      </c>
      <c r="R32" s="153">
        <v>0</v>
      </c>
      <c r="S32" s="153">
        <v>0</v>
      </c>
      <c r="T32" s="153">
        <v>0</v>
      </c>
      <c r="U32" s="154">
        <f>SUM(V32:X32)</f>
        <v>0</v>
      </c>
      <c r="V32" s="153">
        <v>0</v>
      </c>
      <c r="W32" s="153">
        <v>0</v>
      </c>
      <c r="X32" s="153">
        <v>0</v>
      </c>
      <c r="Y32" s="154">
        <f>SUM(Z32:AB32)</f>
        <v>0</v>
      </c>
      <c r="Z32" s="153">
        <v>0</v>
      </c>
      <c r="AA32" s="153">
        <v>0</v>
      </c>
      <c r="AB32" s="153">
        <v>0</v>
      </c>
      <c r="AC32" s="154">
        <f>SUM(AD32:AF32)</f>
        <v>0</v>
      </c>
      <c r="AD32" s="153">
        <v>0</v>
      </c>
      <c r="AE32" s="153">
        <v>0</v>
      </c>
      <c r="AF32" s="153">
        <v>0</v>
      </c>
      <c r="AG32" s="154">
        <f>SUM(AH32:AJ32)</f>
        <v>0</v>
      </c>
      <c r="AH32" s="153">
        <v>0</v>
      </c>
      <c r="AI32" s="153">
        <v>0</v>
      </c>
      <c r="AJ32" s="153">
        <v>0</v>
      </c>
      <c r="AK32" s="154">
        <f>SUM(AL32:AN32)</f>
        <v>0</v>
      </c>
      <c r="AL32" s="153">
        <v>0</v>
      </c>
      <c r="AM32" s="153">
        <v>0</v>
      </c>
      <c r="AN32" s="153">
        <v>0</v>
      </c>
      <c r="AO32" s="154">
        <f>SUM(AP32:AR32)</f>
        <v>0</v>
      </c>
      <c r="AP32" s="153">
        <v>0</v>
      </c>
      <c r="AQ32" s="153">
        <v>0</v>
      </c>
      <c r="AR32" s="153">
        <v>0</v>
      </c>
      <c r="AS32" s="154">
        <f>SUM(AT32:AV32)</f>
        <v>0</v>
      </c>
      <c r="AT32" s="153">
        <v>0</v>
      </c>
      <c r="AU32" s="153">
        <v>0</v>
      </c>
      <c r="AV32" s="153">
        <v>0</v>
      </c>
      <c r="AW32" s="154">
        <f>SUM(AX32:AZ32)</f>
        <v>0</v>
      </c>
      <c r="AX32" s="153">
        <v>0</v>
      </c>
      <c r="AY32" s="153">
        <v>0</v>
      </c>
      <c r="AZ32" s="153">
        <v>0</v>
      </c>
    </row>
    <row r="33" spans="1:52" s="70" customFormat="1" ht="41.25" customHeight="1" outlineLevel="2" x14ac:dyDescent="0.25">
      <c r="A33" s="161" t="s">
        <v>306</v>
      </c>
      <c r="B33" s="188" t="s">
        <v>327</v>
      </c>
      <c r="C33" s="188"/>
      <c r="D33" s="188"/>
      <c r="E33" s="165">
        <f>SUM(E34)</f>
        <v>9900</v>
      </c>
      <c r="F33" s="166">
        <f t="shared" ref="F33:AZ33" si="204">SUM(F34)</f>
        <v>0</v>
      </c>
      <c r="G33" s="165">
        <f t="shared" si="204"/>
        <v>9900</v>
      </c>
      <c r="H33" s="166">
        <f t="shared" si="204"/>
        <v>0</v>
      </c>
      <c r="I33" s="165">
        <f t="shared" si="204"/>
        <v>900</v>
      </c>
      <c r="J33" s="166">
        <f t="shared" si="204"/>
        <v>0</v>
      </c>
      <c r="K33" s="165">
        <f t="shared" si="204"/>
        <v>900</v>
      </c>
      <c r="L33" s="166">
        <f t="shared" si="204"/>
        <v>0</v>
      </c>
      <c r="M33" s="165">
        <f t="shared" si="204"/>
        <v>900</v>
      </c>
      <c r="N33" s="166">
        <f t="shared" si="204"/>
        <v>0</v>
      </c>
      <c r="O33" s="165">
        <f t="shared" si="204"/>
        <v>900</v>
      </c>
      <c r="P33" s="166">
        <f t="shared" si="204"/>
        <v>0</v>
      </c>
      <c r="Q33" s="177">
        <f t="shared" si="204"/>
        <v>900</v>
      </c>
      <c r="R33" s="166">
        <f t="shared" si="204"/>
        <v>0</v>
      </c>
      <c r="S33" s="165">
        <f t="shared" si="204"/>
        <v>900</v>
      </c>
      <c r="T33" s="166">
        <f t="shared" si="204"/>
        <v>0</v>
      </c>
      <c r="U33" s="165">
        <f t="shared" si="204"/>
        <v>900</v>
      </c>
      <c r="V33" s="166">
        <f t="shared" si="204"/>
        <v>0</v>
      </c>
      <c r="W33" s="165">
        <f t="shared" si="204"/>
        <v>900</v>
      </c>
      <c r="X33" s="166">
        <f t="shared" si="204"/>
        <v>0</v>
      </c>
      <c r="Y33" s="165">
        <f t="shared" si="204"/>
        <v>900</v>
      </c>
      <c r="Z33" s="166">
        <f t="shared" si="204"/>
        <v>0</v>
      </c>
      <c r="AA33" s="165">
        <f t="shared" si="204"/>
        <v>900</v>
      </c>
      <c r="AB33" s="166">
        <f t="shared" si="204"/>
        <v>0</v>
      </c>
      <c r="AC33" s="165">
        <f t="shared" si="204"/>
        <v>900</v>
      </c>
      <c r="AD33" s="166">
        <f t="shared" si="204"/>
        <v>0</v>
      </c>
      <c r="AE33" s="165">
        <f t="shared" si="204"/>
        <v>900</v>
      </c>
      <c r="AF33" s="166">
        <f t="shared" si="204"/>
        <v>0</v>
      </c>
      <c r="AG33" s="165">
        <f t="shared" si="204"/>
        <v>900</v>
      </c>
      <c r="AH33" s="166">
        <f t="shared" si="204"/>
        <v>0</v>
      </c>
      <c r="AI33" s="165">
        <f t="shared" si="204"/>
        <v>900</v>
      </c>
      <c r="AJ33" s="166">
        <f t="shared" si="204"/>
        <v>0</v>
      </c>
      <c r="AK33" s="165">
        <f t="shared" si="204"/>
        <v>900</v>
      </c>
      <c r="AL33" s="166">
        <f t="shared" si="204"/>
        <v>0</v>
      </c>
      <c r="AM33" s="165">
        <f t="shared" si="204"/>
        <v>900</v>
      </c>
      <c r="AN33" s="166">
        <f t="shared" si="204"/>
        <v>0</v>
      </c>
      <c r="AO33" s="165">
        <f t="shared" si="204"/>
        <v>900</v>
      </c>
      <c r="AP33" s="166">
        <f t="shared" si="204"/>
        <v>0</v>
      </c>
      <c r="AQ33" s="165">
        <f t="shared" si="204"/>
        <v>900</v>
      </c>
      <c r="AR33" s="167">
        <f t="shared" si="204"/>
        <v>0</v>
      </c>
      <c r="AS33" s="165">
        <f t="shared" si="204"/>
        <v>900</v>
      </c>
      <c r="AT33" s="167">
        <f t="shared" si="204"/>
        <v>0</v>
      </c>
      <c r="AU33" s="165">
        <f t="shared" si="204"/>
        <v>900</v>
      </c>
      <c r="AV33" s="167">
        <f t="shared" si="204"/>
        <v>0</v>
      </c>
      <c r="AW33" s="165">
        <f t="shared" si="204"/>
        <v>900</v>
      </c>
      <c r="AX33" s="167">
        <f t="shared" si="204"/>
        <v>0</v>
      </c>
      <c r="AY33" s="165">
        <f t="shared" si="204"/>
        <v>900</v>
      </c>
      <c r="AZ33" s="167">
        <f t="shared" si="204"/>
        <v>0</v>
      </c>
    </row>
    <row r="34" spans="1:52" ht="48.75" customHeight="1" x14ac:dyDescent="0.25">
      <c r="A34" s="164" t="s">
        <v>308</v>
      </c>
      <c r="B34" s="168" t="s">
        <v>307</v>
      </c>
      <c r="C34" s="71" t="s">
        <v>60</v>
      </c>
      <c r="D34" s="71" t="s">
        <v>60</v>
      </c>
      <c r="E34" s="165">
        <f t="shared" ref="E34:G34" si="205">I34+M34+Q34+U34+Y34+AC34+AG34+AK34+AO34+AS34+AW34</f>
        <v>9900</v>
      </c>
      <c r="F34" s="169">
        <f t="shared" si="183"/>
        <v>0</v>
      </c>
      <c r="G34" s="170">
        <f t="shared" si="205"/>
        <v>9900</v>
      </c>
      <c r="H34" s="169">
        <f t="shared" si="183"/>
        <v>0</v>
      </c>
      <c r="I34" s="171">
        <f>K34</f>
        <v>900</v>
      </c>
      <c r="J34" s="169">
        <f t="shared" si="183"/>
        <v>0</v>
      </c>
      <c r="K34" s="172">
        <v>900</v>
      </c>
      <c r="L34" s="173">
        <v>0</v>
      </c>
      <c r="M34" s="174">
        <f>SUM(N34:P34)</f>
        <v>900</v>
      </c>
      <c r="N34" s="173">
        <v>0</v>
      </c>
      <c r="O34" s="172">
        <v>900</v>
      </c>
      <c r="P34" s="173">
        <v>0</v>
      </c>
      <c r="Q34" s="178">
        <f>SUM(R34:T34)</f>
        <v>900</v>
      </c>
      <c r="R34" s="173">
        <v>0</v>
      </c>
      <c r="S34" s="172">
        <v>900</v>
      </c>
      <c r="T34" s="173">
        <v>0</v>
      </c>
      <c r="U34" s="174">
        <f>SUM(V34:X34)</f>
        <v>900</v>
      </c>
      <c r="V34" s="173">
        <v>0</v>
      </c>
      <c r="W34" s="172">
        <v>900</v>
      </c>
      <c r="X34" s="173">
        <v>0</v>
      </c>
      <c r="Y34" s="174">
        <f>SUM(Z34:AB34)</f>
        <v>900</v>
      </c>
      <c r="Z34" s="173">
        <v>0</v>
      </c>
      <c r="AA34" s="172">
        <v>900</v>
      </c>
      <c r="AB34" s="173">
        <v>0</v>
      </c>
      <c r="AC34" s="174">
        <f>SUM(AD34:AF34)</f>
        <v>900</v>
      </c>
      <c r="AD34" s="173">
        <v>0</v>
      </c>
      <c r="AE34" s="172">
        <v>900</v>
      </c>
      <c r="AF34" s="173">
        <v>0</v>
      </c>
      <c r="AG34" s="174">
        <f>SUM(AH34:AJ34)</f>
        <v>900</v>
      </c>
      <c r="AH34" s="173">
        <v>0</v>
      </c>
      <c r="AI34" s="172">
        <v>900</v>
      </c>
      <c r="AJ34" s="173">
        <v>0</v>
      </c>
      <c r="AK34" s="174">
        <f>SUM(AL34:AN34)</f>
        <v>900</v>
      </c>
      <c r="AL34" s="173">
        <v>0</v>
      </c>
      <c r="AM34" s="172">
        <v>900</v>
      </c>
      <c r="AN34" s="173">
        <v>0</v>
      </c>
      <c r="AO34" s="174">
        <f>SUM(AP34:AR34)</f>
        <v>900</v>
      </c>
      <c r="AP34" s="173">
        <v>0</v>
      </c>
      <c r="AQ34" s="172">
        <v>900</v>
      </c>
      <c r="AR34" s="153">
        <v>0</v>
      </c>
      <c r="AS34" s="174">
        <f>SUM(AT34:AV34)</f>
        <v>900</v>
      </c>
      <c r="AT34" s="153">
        <v>0</v>
      </c>
      <c r="AU34" s="172">
        <v>900</v>
      </c>
      <c r="AV34" s="153">
        <v>0</v>
      </c>
      <c r="AW34" s="174">
        <f>SUM(AX34:AZ34)</f>
        <v>900</v>
      </c>
      <c r="AX34" s="153">
        <v>0</v>
      </c>
      <c r="AY34" s="172">
        <v>900</v>
      </c>
      <c r="AZ34" s="153">
        <v>0</v>
      </c>
    </row>
  </sheetData>
  <autoFilter ref="A4:H7">
    <filterColumn colId="4" showButton="0"/>
    <filterColumn colId="5" showButton="0"/>
    <filterColumn colId="6" showButton="0"/>
  </autoFilter>
  <dataConsolidate/>
  <mergeCells count="35">
    <mergeCell ref="AS5:AV5"/>
    <mergeCell ref="AS6:AS7"/>
    <mergeCell ref="AW5:AZ5"/>
    <mergeCell ref="AW6:AW7"/>
    <mergeCell ref="AV1:AZ1"/>
    <mergeCell ref="AG5:AJ5"/>
    <mergeCell ref="AG6:AG7"/>
    <mergeCell ref="AK5:AN5"/>
    <mergeCell ref="AK6:AK7"/>
    <mergeCell ref="AO5:AR5"/>
    <mergeCell ref="AO6:AO7"/>
    <mergeCell ref="AC6:AC7"/>
    <mergeCell ref="AC5:AF5"/>
    <mergeCell ref="A4:A7"/>
    <mergeCell ref="B4:B7"/>
    <mergeCell ref="C4:C7"/>
    <mergeCell ref="D4:D7"/>
    <mergeCell ref="E4:H5"/>
    <mergeCell ref="Y5:AB5"/>
    <mergeCell ref="M5:P5"/>
    <mergeCell ref="M6:M7"/>
    <mergeCell ref="Q5:T5"/>
    <mergeCell ref="Q6:Q7"/>
    <mergeCell ref="U5:X5"/>
    <mergeCell ref="U6:U7"/>
    <mergeCell ref="Y6:Y7"/>
    <mergeCell ref="F6:H6"/>
    <mergeCell ref="B9:D9"/>
    <mergeCell ref="B10:D10"/>
    <mergeCell ref="B33:D33"/>
    <mergeCell ref="E2:V2"/>
    <mergeCell ref="I4:K4"/>
    <mergeCell ref="I5:L5"/>
    <mergeCell ref="I6:I7"/>
    <mergeCell ref="E6:E7"/>
  </mergeCells>
  <printOptions horizontalCentered="1"/>
  <pageMargins left="0.19685039370078741" right="0" top="0" bottom="0" header="0.31496062992125984" footer="0.31496062992125984"/>
  <pageSetup paperSize="9" scale="28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71"/>
  <sheetViews>
    <sheetView zoomScale="85" zoomScaleNormal="85" zoomScaleSheetLayoutView="85" workbookViewId="0">
      <pane ySplit="2" topLeftCell="A61" activePane="bottomLeft" state="frozen"/>
      <selection pane="bottomLeft" activeCell="D69" sqref="D69"/>
    </sheetView>
  </sheetViews>
  <sheetFormatPr defaultColWidth="9.140625" defaultRowHeight="12.75" outlineLevelRow="2" x14ac:dyDescent="0.2"/>
  <cols>
    <col min="1" max="1" width="47" style="75" customWidth="1"/>
    <col min="2" max="2" width="18.140625" style="75" hidden="1" customWidth="1"/>
    <col min="3" max="3" width="13.7109375" style="75" customWidth="1"/>
    <col min="4" max="4" width="19.140625" style="75" customWidth="1"/>
    <col min="5" max="5" width="15.7109375" style="75" customWidth="1"/>
    <col min="6" max="8" width="17" style="75" customWidth="1"/>
    <col min="9" max="20" width="16.28515625" style="75" customWidth="1"/>
    <col min="21" max="21" width="14.140625" style="75" customWidth="1"/>
    <col min="22" max="22" width="11.28515625" style="75" bestFit="1" customWidth="1"/>
    <col min="23" max="16384" width="9.140625" style="75"/>
  </cols>
  <sheetData>
    <row r="1" spans="1:22" x14ac:dyDescent="0.2">
      <c r="C1" s="75">
        <v>1</v>
      </c>
      <c r="D1" s="75">
        <v>2</v>
      </c>
      <c r="E1" s="75">
        <v>3</v>
      </c>
      <c r="F1" s="75">
        <v>4</v>
      </c>
      <c r="G1" s="75">
        <v>5</v>
      </c>
      <c r="H1" s="75">
        <v>6</v>
      </c>
      <c r="I1" s="75">
        <v>7</v>
      </c>
      <c r="J1" s="75">
        <v>8</v>
      </c>
      <c r="K1" s="75">
        <v>9</v>
      </c>
      <c r="L1" s="75">
        <v>10</v>
      </c>
      <c r="M1" s="75">
        <v>11</v>
      </c>
      <c r="N1" s="75">
        <v>12</v>
      </c>
      <c r="O1" s="75">
        <v>13</v>
      </c>
      <c r="P1" s="75">
        <v>14</v>
      </c>
      <c r="Q1" s="75">
        <v>15</v>
      </c>
      <c r="R1" s="75">
        <v>16</v>
      </c>
      <c r="S1" s="75">
        <v>17</v>
      </c>
      <c r="T1" s="75">
        <v>18</v>
      </c>
    </row>
    <row r="2" spans="1:22" ht="61.5" customHeight="1" x14ac:dyDescent="0.2">
      <c r="A2" s="76" t="s">
        <v>190</v>
      </c>
      <c r="B2" s="76" t="s">
        <v>191</v>
      </c>
      <c r="C2" s="76" t="s">
        <v>192</v>
      </c>
      <c r="D2" s="77" t="s">
        <v>193</v>
      </c>
      <c r="E2" s="77" t="s">
        <v>194</v>
      </c>
      <c r="F2" s="77" t="s">
        <v>195</v>
      </c>
      <c r="G2" s="77" t="s">
        <v>196</v>
      </c>
      <c r="H2" s="77" t="s">
        <v>197</v>
      </c>
      <c r="I2" s="77" t="s">
        <v>198</v>
      </c>
      <c r="J2" s="77" t="s">
        <v>199</v>
      </c>
      <c r="K2" s="77" t="s">
        <v>200</v>
      </c>
      <c r="L2" s="77" t="s">
        <v>201</v>
      </c>
      <c r="M2" s="77" t="s">
        <v>202</v>
      </c>
      <c r="N2" s="77" t="s">
        <v>203</v>
      </c>
      <c r="O2" s="77" t="s">
        <v>204</v>
      </c>
      <c r="P2" s="77" t="s">
        <v>205</v>
      </c>
      <c r="Q2" s="77" t="s">
        <v>206</v>
      </c>
      <c r="R2" s="77" t="s">
        <v>290</v>
      </c>
      <c r="S2" s="77" t="s">
        <v>207</v>
      </c>
      <c r="T2" s="77" t="s">
        <v>208</v>
      </c>
      <c r="U2" s="77" t="s">
        <v>209</v>
      </c>
    </row>
    <row r="3" spans="1:22" hidden="1" outlineLevel="2" x14ac:dyDescent="0.2">
      <c r="A3" s="209" t="s">
        <v>210</v>
      </c>
      <c r="B3" s="78"/>
      <c r="C3" s="78"/>
      <c r="D3" s="79" t="s">
        <v>211</v>
      </c>
      <c r="E3" s="79" t="s">
        <v>212</v>
      </c>
      <c r="F3" s="79" t="s">
        <v>213</v>
      </c>
      <c r="G3" s="80"/>
      <c r="H3" s="79" t="s">
        <v>214</v>
      </c>
      <c r="I3" s="79" t="s">
        <v>215</v>
      </c>
      <c r="J3" s="80"/>
      <c r="K3" s="80"/>
      <c r="L3" s="80"/>
      <c r="M3" s="79" t="s">
        <v>216</v>
      </c>
      <c r="N3" s="79" t="s">
        <v>217</v>
      </c>
      <c r="O3" s="79" t="s">
        <v>218</v>
      </c>
      <c r="P3" s="80"/>
      <c r="Q3" s="80"/>
      <c r="R3" s="80"/>
      <c r="S3" s="79" t="s">
        <v>219</v>
      </c>
      <c r="T3" s="80"/>
      <c r="U3" s="80"/>
    </row>
    <row r="4" spans="1:22" hidden="1" outlineLevel="2" x14ac:dyDescent="0.2">
      <c r="A4" s="210"/>
      <c r="B4" s="78"/>
      <c r="C4" s="78"/>
      <c r="D4" s="79" t="s">
        <v>220</v>
      </c>
      <c r="E4" s="79" t="s">
        <v>221</v>
      </c>
      <c r="F4" s="79" t="s">
        <v>222</v>
      </c>
      <c r="G4" s="80"/>
      <c r="H4" s="80"/>
      <c r="I4" s="79" t="s">
        <v>223</v>
      </c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2" hidden="1" outlineLevel="2" x14ac:dyDescent="0.2">
      <c r="A5" s="210"/>
      <c r="B5" s="78"/>
      <c r="C5" s="78"/>
      <c r="D5" s="79"/>
      <c r="E5" s="79"/>
      <c r="F5" s="79"/>
      <c r="G5" s="80"/>
      <c r="H5" s="80"/>
      <c r="I5" s="79" t="s">
        <v>224</v>
      </c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</row>
    <row r="6" spans="1:22" hidden="1" outlineLevel="2" x14ac:dyDescent="0.2">
      <c r="A6" s="211"/>
      <c r="B6" s="78"/>
      <c r="C6" s="78"/>
      <c r="D6" s="80"/>
      <c r="E6" s="80"/>
      <c r="F6" s="80"/>
      <c r="G6" s="80"/>
      <c r="H6" s="80"/>
      <c r="I6" s="79" t="s">
        <v>225</v>
      </c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</row>
    <row r="7" spans="1:22" ht="15" hidden="1" customHeight="1" x14ac:dyDescent="0.2">
      <c r="A7" s="81" t="s">
        <v>226</v>
      </c>
      <c r="B7" s="78"/>
      <c r="C7" s="82">
        <f>[1]Внебюджет!$C$23/1000</f>
        <v>15</v>
      </c>
      <c r="D7" s="80"/>
      <c r="E7" s="83">
        <f>[2]Внебюджет!$C$23/1000</f>
        <v>75</v>
      </c>
      <c r="F7" s="83">
        <f>[3]Внебюджет!$B$17/1000</f>
        <v>60</v>
      </c>
      <c r="G7" s="84">
        <f>[4]Внебюджет!$B$17/1000</f>
        <v>100</v>
      </c>
      <c r="H7" s="83">
        <f>[5]Внебюджет!$C$23/1000</f>
        <v>70</v>
      </c>
      <c r="I7" s="84">
        <f>[6]Внебюджет!$B$17/1000</f>
        <v>100</v>
      </c>
      <c r="J7" s="84">
        <f>[7]Внебюджет!$C$17</f>
        <v>0</v>
      </c>
      <c r="K7" s="84">
        <f>[8]Внебюджет!$C$30</f>
        <v>0</v>
      </c>
      <c r="L7" s="84">
        <f>[9]Внебюджет!$B$17/1000</f>
        <v>10</v>
      </c>
      <c r="M7" s="84">
        <f>[10]Внебюджет!$C$24/1000</f>
        <v>50</v>
      </c>
      <c r="N7" s="84">
        <f>[11]Внебюджет!$C$17/1000</f>
        <v>90</v>
      </c>
      <c r="O7" s="84">
        <f>[12]Внебюджет!$C$23/1000</f>
        <v>1</v>
      </c>
      <c r="P7" s="84">
        <f>[13]Внебюджет!$C$23/1000</f>
        <v>40</v>
      </c>
      <c r="Q7" s="84">
        <f>[14]Внебюджет!$C$24/1000</f>
        <v>45</v>
      </c>
      <c r="R7" s="84">
        <f>[15]Внебюджет!$C$23/1000</f>
        <v>100</v>
      </c>
      <c r="S7" s="84">
        <f>[16]Внебюджет!$C$23/1000</f>
        <v>500</v>
      </c>
      <c r="T7" s="84">
        <f>[17]Внебюджет!$C$23/1000</f>
        <v>30</v>
      </c>
      <c r="U7" s="85">
        <f>SUM(C7:T7)</f>
        <v>1286</v>
      </c>
    </row>
    <row r="8" spans="1:22" ht="15" hidden="1" customHeight="1" x14ac:dyDescent="0.2">
      <c r="A8" s="86" t="s">
        <v>227</v>
      </c>
      <c r="B8" s="87">
        <v>200</v>
      </c>
      <c r="C8" s="88">
        <f>C9+C15+C16+C18+C31+C32+C33+C34+C35+C36</f>
        <v>13222903.156479999</v>
      </c>
      <c r="D8" s="88">
        <f t="shared" ref="D8:T8" si="0">D9+D15+D16+D18+D31+D32+D33+D34+D35+D36</f>
        <v>47732370.337840006</v>
      </c>
      <c r="E8" s="88">
        <f t="shared" si="0"/>
        <v>32726591.543839999</v>
      </c>
      <c r="F8" s="88">
        <f t="shared" si="0"/>
        <v>18961591.546477143</v>
      </c>
      <c r="G8" s="88">
        <f t="shared" si="0"/>
        <v>22634621.120153859</v>
      </c>
      <c r="H8" s="88">
        <f t="shared" si="0"/>
        <v>14748687.604377575</v>
      </c>
      <c r="I8" s="88">
        <f t="shared" si="0"/>
        <v>28431912.169219077</v>
      </c>
      <c r="J8" s="88">
        <f t="shared" si="0"/>
        <v>5268919.5247999988</v>
      </c>
      <c r="K8" s="88">
        <f t="shared" si="0"/>
        <v>5273052.3611541996</v>
      </c>
      <c r="L8" s="88">
        <f t="shared" si="0"/>
        <v>6318705.7532812804</v>
      </c>
      <c r="M8" s="88">
        <f t="shared" si="0"/>
        <v>10533895.654126676</v>
      </c>
      <c r="N8" s="88">
        <f t="shared" si="0"/>
        <v>27371480.660523843</v>
      </c>
      <c r="O8" s="88">
        <f t="shared" si="0"/>
        <v>4745000.2143716216</v>
      </c>
      <c r="P8" s="88">
        <f t="shared" si="0"/>
        <v>6850437.3587142536</v>
      </c>
      <c r="Q8" s="88">
        <f t="shared" si="0"/>
        <v>40001158.045277163</v>
      </c>
      <c r="R8" s="88">
        <f t="shared" si="0"/>
        <v>9481119.6013200004</v>
      </c>
      <c r="S8" s="88">
        <f t="shared" si="0"/>
        <v>33712726.757962324</v>
      </c>
      <c r="T8" s="88">
        <f t="shared" si="0"/>
        <v>5676070.3171104006</v>
      </c>
      <c r="U8" s="89">
        <f>SUM(C8:T8)</f>
        <v>333691243.7270295</v>
      </c>
      <c r="V8" s="75">
        <v>287970498.30000001</v>
      </c>
    </row>
    <row r="9" spans="1:22" ht="15" hidden="1" customHeight="1" x14ac:dyDescent="0.2">
      <c r="A9" s="90" t="s">
        <v>228</v>
      </c>
      <c r="B9" s="91">
        <v>210</v>
      </c>
      <c r="C9" s="92">
        <f>C10+C17</f>
        <v>4209199.3439999996</v>
      </c>
      <c r="D9" s="92">
        <f>D10+D17</f>
        <v>21572146.638</v>
      </c>
      <c r="E9" s="92">
        <f t="shared" ref="E9:T9" si="1">E10+E17</f>
        <v>17362947.294</v>
      </c>
      <c r="F9" s="92">
        <f t="shared" si="1"/>
        <v>18941397.048</v>
      </c>
      <c r="G9" s="92">
        <f t="shared" si="1"/>
        <v>22624446.473999999</v>
      </c>
      <c r="H9" s="92">
        <f t="shared" si="1"/>
        <v>14732197.704</v>
      </c>
      <c r="I9" s="92">
        <f t="shared" si="1"/>
        <v>28412095.572000001</v>
      </c>
      <c r="J9" s="92">
        <f t="shared" si="1"/>
        <v>5261499.18</v>
      </c>
      <c r="K9" s="92">
        <f t="shared" si="1"/>
        <v>5261499.18</v>
      </c>
      <c r="L9" s="92">
        <f t="shared" si="1"/>
        <v>6313799.0159999998</v>
      </c>
      <c r="M9" s="92">
        <f t="shared" si="1"/>
        <v>10522998.359999999</v>
      </c>
      <c r="N9" s="92">
        <f t="shared" si="1"/>
        <v>27359795.736000001</v>
      </c>
      <c r="O9" s="92">
        <f t="shared" si="1"/>
        <v>4735349.2620000001</v>
      </c>
      <c r="P9" s="92">
        <f t="shared" si="1"/>
        <v>6839948.9340000004</v>
      </c>
      <c r="Q9" s="92">
        <f t="shared" si="1"/>
        <v>39987393.767999999</v>
      </c>
      <c r="R9" s="92">
        <f t="shared" si="1"/>
        <v>9470698.5240000002</v>
      </c>
      <c r="S9" s="92">
        <f t="shared" si="1"/>
        <v>33673594.751999997</v>
      </c>
      <c r="T9" s="92">
        <f t="shared" si="1"/>
        <v>5666356.0800000001</v>
      </c>
      <c r="U9" s="93">
        <f>SUM(C9:T9)</f>
        <v>282947362.86599994</v>
      </c>
    </row>
    <row r="10" spans="1:22" ht="15" hidden="1" customHeight="1" x14ac:dyDescent="0.2">
      <c r="A10" s="94" t="s">
        <v>229</v>
      </c>
      <c r="B10" s="95">
        <v>211</v>
      </c>
      <c r="C10" s="96">
        <f>'[1]Оплата труда '!$L$24</f>
        <v>3232872</v>
      </c>
      <c r="D10" s="97">
        <f>'[18]Оплата труда 211'!$L$36</f>
        <v>16568469</v>
      </c>
      <c r="E10" s="97">
        <f>'[2]Оплата труда '!$L$42</f>
        <v>13335597</v>
      </c>
      <c r="F10" s="97">
        <f>'[3]Оплата труда '!$L$43</f>
        <v>14547924</v>
      </c>
      <c r="G10" s="97">
        <f>'[19]Оплата труда '!$L$34</f>
        <v>17376687</v>
      </c>
      <c r="H10" s="97">
        <f>'[5]оплата труда'!$L$47</f>
        <v>11315052</v>
      </c>
      <c r="I10" s="97">
        <f>'[20]Оплата труда '!$L$43</f>
        <v>21821886</v>
      </c>
      <c r="J10" s="97">
        <f>'[7]Оплата труда '!$L$43</f>
        <v>4041090</v>
      </c>
      <c r="K10" s="97">
        <f>'[8]Оплата труда '!$L$42</f>
        <v>4041090</v>
      </c>
      <c r="L10" s="97">
        <f>'[21]Оплата труда '!$L$39</f>
        <v>4849308</v>
      </c>
      <c r="M10" s="97">
        <f>'[10]Оплата труда '!$L$42</f>
        <v>8082180</v>
      </c>
      <c r="N10" s="97">
        <f>'[22]Оплата труда '!$L$36</f>
        <v>21013668</v>
      </c>
      <c r="O10" s="97">
        <f>'[12]Оплата труда 211'!$L$42</f>
        <v>3636981</v>
      </c>
      <c r="P10" s="97">
        <f>'[13]Оплата труда '!$L$43</f>
        <v>5253417</v>
      </c>
      <c r="Q10" s="97">
        <f>'[14]Оплата труда '!$L$40</f>
        <v>30712284</v>
      </c>
      <c r="R10" s="97">
        <f>'[15]ОПЛАТА ТРУДА'!$L$30</f>
        <v>7273962</v>
      </c>
      <c r="S10" s="97">
        <f>'[16]Оплата труда '!$L$45</f>
        <v>25862976</v>
      </c>
      <c r="T10" s="97">
        <f>'[17]Оплата труда '!$L$42</f>
        <v>4352040</v>
      </c>
      <c r="U10" s="98">
        <f t="shared" ref="U10:U38" si="2">SUM(C10:T10)</f>
        <v>217317483</v>
      </c>
    </row>
    <row r="11" spans="1:22" ht="15" hidden="1" customHeight="1" outlineLevel="1" x14ac:dyDescent="0.2">
      <c r="A11" s="94" t="s">
        <v>230</v>
      </c>
      <c r="B11" s="95"/>
      <c r="C11" s="96">
        <f>('[1]Оплата труда '!$O$10+'[1]Оплата труда '!$P$10)</f>
        <v>2006621.701876129</v>
      </c>
      <c r="D11" s="97">
        <f>('[18]Оплата труда 211'!$O$22+'[18]Оплата труда 211'!$P$22)</f>
        <v>9981873.6341530327</v>
      </c>
      <c r="E11" s="97">
        <f>('[2]Оплата труда '!$O$28+'[2]Оплата труда '!$P$28)</f>
        <v>7908568.8419290697</v>
      </c>
      <c r="F11" s="97">
        <f>('[3]Оплата труда '!$O$29+'[3]Оплата труда '!$P$29)</f>
        <v>9020630.0013924204</v>
      </c>
      <c r="G11" s="97">
        <f>('[19]Оплата труда '!$O$20+'[19]Оплата труда '!$P$20)</f>
        <v>9927122.4028088748</v>
      </c>
      <c r="H11" s="97">
        <f>('[5]оплата труда'!$O$33+'[5]оплата труда'!$P$33)</f>
        <v>7348983.2005049037</v>
      </c>
      <c r="I11" s="97">
        <f>('[20]Оплата труда '!$O$29+'[20]Оплата труда '!$P$29)</f>
        <v>13130915.204943251</v>
      </c>
      <c r="J11" s="97">
        <f>('[7]Оплата труда '!$O$28+'[7]Оплата труда '!$P$28)</f>
        <v>1647773.9102442104</v>
      </c>
      <c r="K11" s="97">
        <f>('[8]Оплата труда '!$O$28+'[8]Оплата труда '!$P$28)</f>
        <v>3704652.5494358712</v>
      </c>
      <c r="L11" s="97">
        <f>('[21]Оплата труда '!$O$25+'[21]Оплата труда '!$P$25)</f>
        <v>2825797.0838129031</v>
      </c>
      <c r="M11" s="97">
        <f>('[10]Оплата труда '!$O$28+'[10]Оплата труда '!$P$28)</f>
        <v>3750486.9840225484</v>
      </c>
      <c r="N11" s="97">
        <f>('[22]Оплата труда '!$O$22+'[22]Оплата труда '!$P$22)</f>
        <v>11830282.076559741</v>
      </c>
      <c r="O11" s="97">
        <f>('[12]Оплата труда 211'!$O$28+'[12]Оплата труда 211'!$P$28)</f>
        <v>2645427.1976232254</v>
      </c>
      <c r="P11" s="97">
        <f>('[13]Оплата труда '!$O$29+'[13]Оплата труда '!$P$29)</f>
        <v>3501804.5447806451</v>
      </c>
      <c r="Q11" s="97">
        <f>('[14]Оплата труда '!$O$26+'[14]Оплата труда '!$P$26)</f>
        <v>18758854.974703997</v>
      </c>
      <c r="R11" s="97">
        <f>('[15]ОПЛАТА ТРУДА'!$O$16+'[15]ОПЛАТА ТРУДА'!$P$16)</f>
        <v>4527972.296908387</v>
      </c>
      <c r="S11" s="97">
        <f>('[16]Оплата труда '!$O$31+'[16]Оплата труда '!$P$31)</f>
        <v>15205371.996550834</v>
      </c>
      <c r="T11" s="97">
        <f>('[17]Оплата труда '!$O$28+'[17]Оплата труда '!$P$28)</f>
        <v>2822779.4407175207</v>
      </c>
      <c r="U11" s="98">
        <f t="shared" si="2"/>
        <v>130545918.04296756</v>
      </c>
      <c r="V11" s="99"/>
    </row>
    <row r="12" spans="1:22" ht="15" hidden="1" customHeight="1" outlineLevel="1" x14ac:dyDescent="0.2">
      <c r="A12" s="94" t="s">
        <v>231</v>
      </c>
      <c r="B12" s="95"/>
      <c r="C12" s="96">
        <f>'[23]2023 г. Усть-Кара'!$E$10</f>
        <v>412864.34</v>
      </c>
      <c r="D12" s="97">
        <f>'[24]2023 г. Пеша'!$E$254</f>
        <v>7277502.7999999998</v>
      </c>
      <c r="E12" s="97">
        <f>'[25]2023'!$E$233</f>
        <v>5266322.4800000004</v>
      </c>
      <c r="F12" s="97">
        <f>'[26]2023г.'!$E$251</f>
        <v>6141541.2000000002</v>
      </c>
      <c r="G12" s="97">
        <f>'[27]2023 г. Несь'!$E$241</f>
        <v>6220334.3200000003</v>
      </c>
      <c r="H12" s="97">
        <f>'[28]2023 г. Индига'!$E$192</f>
        <v>4030516.36</v>
      </c>
      <c r="I12" s="97">
        <f>'[29]2023'!$E$328</f>
        <v>8201883.6699999999</v>
      </c>
      <c r="J12" s="97">
        <f>'[30]2023'!$E$72</f>
        <v>1248398.49</v>
      </c>
      <c r="K12" s="97">
        <f>'[31]2023'!$E$65</f>
        <v>1120891.9099999999</v>
      </c>
      <c r="L12" s="97">
        <f>'[32]2023'!$E$76</f>
        <v>1731363.92</v>
      </c>
      <c r="M12" s="97">
        <f>'[33]2023'!$E$124</f>
        <v>3791856.08</v>
      </c>
      <c r="N12" s="97">
        <f>'[34]2023'!$E$305</f>
        <v>8353745.8600000003</v>
      </c>
      <c r="O12" s="97">
        <f>'[35]2023'!$E$56</f>
        <v>1913049.05</v>
      </c>
      <c r="P12" s="97">
        <f>'[36]2023 г. Хорей-Вер'!$E$88</f>
        <v>1640765.37</v>
      </c>
      <c r="Q12" s="97">
        <f>'[37]2023'!$E$578</f>
        <v>13296052.32</v>
      </c>
      <c r="R12" s="97">
        <f>'[38]2023'!$E$130</f>
        <v>3244100.54</v>
      </c>
      <c r="S12" s="97">
        <f>'[39]2023г.'!$E$343</f>
        <v>10025770.609999999</v>
      </c>
      <c r="T12" s="97">
        <f>'[40]2023г.'!$E$95</f>
        <v>1889059.41</v>
      </c>
      <c r="U12" s="98">
        <f t="shared" si="2"/>
        <v>85806018.729999989</v>
      </c>
      <c r="V12" s="99"/>
    </row>
    <row r="13" spans="1:22" ht="15" hidden="1" customHeight="1" outlineLevel="1" x14ac:dyDescent="0.2">
      <c r="A13" s="94" t="s">
        <v>232</v>
      </c>
      <c r="B13" s="95"/>
      <c r="C13" s="96">
        <f>([23]свод!$F$22)/7*12</f>
        <v>1398566.3314285714</v>
      </c>
      <c r="D13" s="97">
        <f>([24]свод!$G$24)/7*12</f>
        <v>7249551.8400000008</v>
      </c>
      <c r="E13" s="97">
        <f>([25]свод!$G$24)/7*12</f>
        <v>5319380.8114285711</v>
      </c>
      <c r="F13" s="97">
        <f>([26]свод!$G$25)/7*12</f>
        <v>6613830.7542857146</v>
      </c>
      <c r="G13" s="97">
        <f>([27]свод!$F$21)/7*12</f>
        <v>5905889.228571428</v>
      </c>
      <c r="H13" s="97">
        <f>([28]свод!$G$21)/7*12</f>
        <v>5339305.7485714285</v>
      </c>
      <c r="I13" s="97">
        <f>([29]свод!$G$23)/7*12</f>
        <v>8862505.4914285727</v>
      </c>
      <c r="J13" s="97">
        <f>([30]свод!$F$23)/7*12</f>
        <v>1110248.3314285711</v>
      </c>
      <c r="K13" s="97">
        <f>([31]свод!$F$21)/7*12</f>
        <v>1679488.7314285715</v>
      </c>
      <c r="L13" s="97">
        <f>([32]свод!$F$19)/7*12</f>
        <v>1824128.6571428573</v>
      </c>
      <c r="M13" s="97">
        <f>([33]свод!$F$21)/7*12</f>
        <v>4014530.3828571429</v>
      </c>
      <c r="N13" s="97">
        <f>([34]свод!$F$17)/7*12</f>
        <v>7726028.382857142</v>
      </c>
      <c r="O13" s="97">
        <f>([35]свод!$G$19)/7*12</f>
        <v>1686730.1314285714</v>
      </c>
      <c r="P13" s="97">
        <f>([36]свод!$H$22)/7*12</f>
        <v>1573512.5657142859</v>
      </c>
      <c r="Q13" s="97">
        <f>([37]свод!$G$18)/7*12</f>
        <v>13215925.080000002</v>
      </c>
      <c r="R13" s="97">
        <f>([38]свод!$F$19)/7*12</f>
        <v>2595588.7371428572</v>
      </c>
      <c r="S13" s="97">
        <f>([39]свод!$F$21)/7*12</f>
        <v>10922295.119999999</v>
      </c>
      <c r="T13" s="97">
        <f>([40]свод!$H$15)/7*12</f>
        <v>1545032.8628571429</v>
      </c>
      <c r="U13" s="98">
        <f t="shared" si="2"/>
        <v>88582539.188571438</v>
      </c>
    </row>
    <row r="14" spans="1:22" ht="15" hidden="1" customHeight="1" outlineLevel="1" x14ac:dyDescent="0.2">
      <c r="A14" s="94" t="s">
        <v>233</v>
      </c>
      <c r="B14" s="95"/>
      <c r="C14" s="100">
        <f>'[1]Оплата труда '!$C$10</f>
        <v>2</v>
      </c>
      <c r="D14" s="101">
        <f>'[18]Оплата труда 211'!$C$22</f>
        <v>10.25</v>
      </c>
      <c r="E14" s="101">
        <f>'[2]Оплата труда '!$C$28</f>
        <v>8.25</v>
      </c>
      <c r="F14" s="102">
        <f>'[3]Оплата труда '!$C$29</f>
        <v>9</v>
      </c>
      <c r="G14" s="101">
        <f>'[19]Оплата труда '!$C$20</f>
        <v>10.75</v>
      </c>
      <c r="H14" s="102">
        <f>'[5]оплата труда'!$C$33</f>
        <v>7</v>
      </c>
      <c r="I14" s="102">
        <f>'[20]Оплата труда '!$C$29</f>
        <v>13.5</v>
      </c>
      <c r="J14" s="102">
        <f>'[7]Оплата труда '!$C$28</f>
        <v>2.5</v>
      </c>
      <c r="K14" s="102">
        <f>'[8]Оплата труда '!$C$28</f>
        <v>2.5</v>
      </c>
      <c r="L14" s="102">
        <f>'[21]Оплата труда '!$C$25</f>
        <v>3</v>
      </c>
      <c r="M14" s="102">
        <f>'[10]Оплата труда '!$C$28</f>
        <v>5</v>
      </c>
      <c r="N14" s="102">
        <f>'[22]Оплата труда '!$C$22</f>
        <v>13</v>
      </c>
      <c r="O14" s="102">
        <f>'[12]Оплата труда 211'!$C$28</f>
        <v>2.25</v>
      </c>
      <c r="P14" s="102">
        <f>'[13]Оплата труда '!$C$29</f>
        <v>3.25</v>
      </c>
      <c r="Q14" s="102">
        <f>'[14]Оплата труда '!$C$26</f>
        <v>19</v>
      </c>
      <c r="R14" s="102">
        <f>'[15]ОПЛАТА ТРУДА'!$C$16</f>
        <v>4.5</v>
      </c>
      <c r="S14" s="102">
        <f>'[16]Оплата труда '!$C$31</f>
        <v>16</v>
      </c>
      <c r="T14" s="102">
        <f>'[17]Оплата труда '!$C$28</f>
        <v>3</v>
      </c>
      <c r="U14" s="103">
        <f t="shared" si="2"/>
        <v>134.75</v>
      </c>
    </row>
    <row r="15" spans="1:22" ht="15" hidden="1" customHeight="1" x14ac:dyDescent="0.2">
      <c r="A15" s="90" t="s">
        <v>234</v>
      </c>
      <c r="B15" s="91">
        <v>212</v>
      </c>
      <c r="C15" s="104">
        <f>[1]СМЕТА!$E$22</f>
        <v>19600</v>
      </c>
      <c r="D15" s="104">
        <f>[18]СМЕТА!$D$22</f>
        <v>42000</v>
      </c>
      <c r="E15" s="104">
        <f>[2]СМЕТА!$D$22</f>
        <v>35000</v>
      </c>
      <c r="F15" s="105">
        <f>[41]СМЕТА!$D$22</f>
        <v>34.299999999999997</v>
      </c>
      <c r="G15" s="105">
        <f>[4]СМЕТА!$D$22</f>
        <v>36.4</v>
      </c>
      <c r="H15" s="105">
        <f>[42]СМЕТА!$D$22</f>
        <v>42.7</v>
      </c>
      <c r="I15" s="105">
        <f>[6]СМЕТА!$D$22</f>
        <v>74.2</v>
      </c>
      <c r="J15" s="105">
        <f>[43]СМЕТА!$D$22</f>
        <v>11.2</v>
      </c>
      <c r="K15" s="105">
        <f>[44]СМЕТА!$D$22</f>
        <v>24.5</v>
      </c>
      <c r="L15" s="105">
        <f>[9]СМЕТА!$D$22</f>
        <v>24.5</v>
      </c>
      <c r="M15" s="105">
        <f>[45]СМЕТА!$D$22/1000</f>
        <v>49</v>
      </c>
      <c r="N15" s="105">
        <f>[11]СМЕТА!$D$22</f>
        <v>9.8000000000000007</v>
      </c>
      <c r="O15" s="105">
        <f>[46]СМЕТА!$D$22</f>
        <v>27.3</v>
      </c>
      <c r="P15" s="105">
        <f>[47]СМЕТА!$D$22</f>
        <v>22.4</v>
      </c>
      <c r="Q15" s="105">
        <f>[48]СМЕТА!$D$22</f>
        <v>0</v>
      </c>
      <c r="R15" s="105">
        <f>[49]СМЕТА!$D$22</f>
        <v>30.8</v>
      </c>
      <c r="S15" s="105">
        <f>[50]СМЕТА!$D$22/1000</f>
        <v>42</v>
      </c>
      <c r="T15" s="105">
        <f>[51]СМЕТА!$D$22</f>
        <v>22.4</v>
      </c>
      <c r="U15" s="106">
        <f>SUM(C15:T15)</f>
        <v>97051.499999999985</v>
      </c>
    </row>
    <row r="16" spans="1:22" ht="15" hidden="1" customHeight="1" x14ac:dyDescent="0.2">
      <c r="A16" s="90" t="s">
        <v>235</v>
      </c>
      <c r="B16" s="91"/>
      <c r="C16" s="104">
        <f>'[52]Льготный проезд ДК'!V12</f>
        <v>359520</v>
      </c>
      <c r="D16" s="104">
        <f>'[52]Льготный проезд ДК'!V15</f>
        <v>656640</v>
      </c>
      <c r="E16" s="104">
        <f>'[52]Льготный проезд ДК'!V14</f>
        <v>299610</v>
      </c>
      <c r="F16" s="105">
        <f>'[53]льготный проезд'!$V$68</f>
        <v>395.4</v>
      </c>
      <c r="G16" s="105">
        <f>'[53]льготный проезд'!$V$61</f>
        <v>645.70000000000005</v>
      </c>
      <c r="H16" s="105">
        <f>'[53]льготный проезд'!$V$70</f>
        <v>113.9</v>
      </c>
      <c r="I16" s="107">
        <f>'[53]льготный проезд'!$V$60</f>
        <v>255.9</v>
      </c>
      <c r="J16" s="105">
        <f>'[54]льготный проезд'!$V$59</f>
        <v>135</v>
      </c>
      <c r="K16" s="105">
        <f>'[53]льготный проезд'!$V$58</f>
        <v>183.5</v>
      </c>
      <c r="L16" s="105">
        <f>'[53]льготный проезд'!$V$64</f>
        <v>425.2</v>
      </c>
      <c r="M16" s="105">
        <f>'[53]льготный проезд'!$V$74</f>
        <v>577.1</v>
      </c>
      <c r="N16" s="105">
        <f>'[53]льготный проезд'!$V$67</f>
        <v>543.1</v>
      </c>
      <c r="O16" s="105">
        <f>'[53]льготный проезд'!$V$73</f>
        <v>124.3</v>
      </c>
      <c r="P16" s="105">
        <f>'[53]льготный проезд'!$V$71</f>
        <v>323.60000000000002</v>
      </c>
      <c r="Q16" s="105">
        <f>'[53]льготный проезд'!$V$75</f>
        <v>585</v>
      </c>
      <c r="R16" s="105">
        <f>'[53]льготный проезд'!$V$62</f>
        <v>49.7</v>
      </c>
      <c r="S16" s="105">
        <f>'[53]льготный проезд'!$V$69</f>
        <v>495</v>
      </c>
      <c r="T16" s="105">
        <f>'[53]льготный проезд'!$V$72</f>
        <v>121.4</v>
      </c>
      <c r="U16" s="106">
        <f>SUM(C16:T16)</f>
        <v>1320743.7999999998</v>
      </c>
    </row>
    <row r="17" spans="1:22" ht="15" hidden="1" customHeight="1" x14ac:dyDescent="0.2">
      <c r="A17" s="108" t="s">
        <v>236</v>
      </c>
      <c r="B17" s="95">
        <v>213</v>
      </c>
      <c r="C17" s="100">
        <f t="shared" ref="C17:T17" si="3">C10*30.2%</f>
        <v>976327.34399999992</v>
      </c>
      <c r="D17" s="100">
        <f t="shared" si="3"/>
        <v>5003677.6380000003</v>
      </c>
      <c r="E17" s="100">
        <f t="shared" si="3"/>
        <v>4027350.2939999998</v>
      </c>
      <c r="F17" s="100">
        <f t="shared" si="3"/>
        <v>4393473.0479999995</v>
      </c>
      <c r="G17" s="100">
        <f t="shared" si="3"/>
        <v>5247759.4739999995</v>
      </c>
      <c r="H17" s="100">
        <f t="shared" si="3"/>
        <v>3417145.7039999999</v>
      </c>
      <c r="I17" s="100">
        <f t="shared" si="3"/>
        <v>6590209.5719999997</v>
      </c>
      <c r="J17" s="100">
        <f t="shared" si="3"/>
        <v>1220409.18</v>
      </c>
      <c r="K17" s="100">
        <f t="shared" si="3"/>
        <v>1220409.18</v>
      </c>
      <c r="L17" s="100">
        <f t="shared" si="3"/>
        <v>1464491.0160000001</v>
      </c>
      <c r="M17" s="100">
        <f t="shared" si="3"/>
        <v>2440818.36</v>
      </c>
      <c r="N17" s="100">
        <f t="shared" si="3"/>
        <v>6346127.7359999996</v>
      </c>
      <c r="O17" s="100">
        <f t="shared" si="3"/>
        <v>1098368.2619999999</v>
      </c>
      <c r="P17" s="100">
        <f t="shared" si="3"/>
        <v>1586531.9339999999</v>
      </c>
      <c r="Q17" s="100">
        <f t="shared" si="3"/>
        <v>9275109.7679999992</v>
      </c>
      <c r="R17" s="100">
        <f t="shared" si="3"/>
        <v>2196736.5239999997</v>
      </c>
      <c r="S17" s="100">
        <f t="shared" si="3"/>
        <v>7810618.7519999994</v>
      </c>
      <c r="T17" s="100">
        <f t="shared" si="3"/>
        <v>1314316.08</v>
      </c>
      <c r="U17" s="103">
        <f t="shared" si="2"/>
        <v>65629879.865999997</v>
      </c>
    </row>
    <row r="18" spans="1:22" ht="15" hidden="1" customHeight="1" x14ac:dyDescent="0.2">
      <c r="A18" s="90" t="s">
        <v>237</v>
      </c>
      <c r="B18" s="91">
        <v>220</v>
      </c>
      <c r="C18" s="109">
        <f>C19+C20+C21+C31+C32+C33+C34</f>
        <v>6621841.1662399992</v>
      </c>
      <c r="D18" s="109">
        <f t="shared" ref="D18:L18" si="4">D19+D20+D21+D31+D32+D33+D34</f>
        <v>17559320.919840001</v>
      </c>
      <c r="E18" s="109">
        <f t="shared" si="4"/>
        <v>9644564.5498399995</v>
      </c>
      <c r="F18" s="109">
        <f t="shared" si="4"/>
        <v>14810.4094771448</v>
      </c>
      <c r="G18" s="109">
        <f t="shared" si="4"/>
        <v>6231.2716338599112</v>
      </c>
      <c r="H18" s="109">
        <f t="shared" si="4"/>
        <v>11582.4885522272</v>
      </c>
      <c r="I18" s="109">
        <f t="shared" si="4"/>
        <v>14544.225617880005</v>
      </c>
      <c r="J18" s="109">
        <f t="shared" si="4"/>
        <v>5164.2143999999998</v>
      </c>
      <c r="K18" s="109">
        <f t="shared" si="4"/>
        <v>6467.4679141999995</v>
      </c>
      <c r="L18" s="109">
        <f t="shared" si="4"/>
        <v>2259.5762812800003</v>
      </c>
      <c r="M18" s="109">
        <f>M19+M20+M21+M31+M32+M33+M34</f>
        <v>6751.3241266752011</v>
      </c>
      <c r="N18" s="109">
        <f t="shared" ref="N18:T18" si="5">N19+N20+N21+N31+N32+N33+N34</f>
        <v>8578.2495238400006</v>
      </c>
      <c r="O18" s="109">
        <f t="shared" si="5"/>
        <v>5600.9421858103997</v>
      </c>
      <c r="P18" s="109">
        <f t="shared" si="5"/>
        <v>7031.5098571271992</v>
      </c>
      <c r="Q18" s="109">
        <f t="shared" si="5"/>
        <v>5095.4650071628803</v>
      </c>
      <c r="R18" s="109">
        <f t="shared" si="5"/>
        <v>6083.7666399999998</v>
      </c>
      <c r="S18" s="109">
        <f t="shared" si="5"/>
        <v>22701.54246232277</v>
      </c>
      <c r="T18" s="109">
        <f t="shared" si="5"/>
        <v>5057.9784271999997</v>
      </c>
      <c r="U18" s="110">
        <f>SUM(C18:T18)</f>
        <v>33953687.068026736</v>
      </c>
      <c r="V18" s="99"/>
    </row>
    <row r="19" spans="1:22" ht="15" hidden="1" customHeight="1" x14ac:dyDescent="0.2">
      <c r="A19" s="108" t="s">
        <v>238</v>
      </c>
      <c r="B19" s="95">
        <v>221</v>
      </c>
      <c r="C19" s="111">
        <f>[1]Связь!$U$8</f>
        <v>110000</v>
      </c>
      <c r="D19" s="112">
        <f>[18]СМЕТА!$D$25</f>
        <v>493072.05984</v>
      </c>
      <c r="E19" s="112">
        <f>[2]СМЕТА!$D$25</f>
        <v>312324.45984000002</v>
      </c>
      <c r="F19" s="112">
        <f>[3]Связь!$U$8/1000</f>
        <v>398.93229916480004</v>
      </c>
      <c r="G19" s="112">
        <f>[19]Связь!$U$8/1000</f>
        <v>371.74067354880003</v>
      </c>
      <c r="H19" s="112">
        <f>[5]Связь!$U$8/1000</f>
        <v>295.11072687999996</v>
      </c>
      <c r="I19" s="112">
        <f>[20]Связь!$U$8/1000</f>
        <v>892.71639168000422</v>
      </c>
      <c r="J19" s="112">
        <f>[7]Связь!$U$8/1000</f>
        <v>257.89999999999998</v>
      </c>
      <c r="K19" s="112">
        <f>[8]Связь!$U$8/1000</f>
        <v>141.85814400000001</v>
      </c>
      <c r="L19" s="112">
        <f>[21]Связь!$U$8/1000</f>
        <v>152.37328127999999</v>
      </c>
      <c r="M19" s="112">
        <f>[10]Связь!$U$8/1000</f>
        <v>138.85738667520002</v>
      </c>
      <c r="N19" s="112">
        <f>[22]Связь!$U$8/1000</f>
        <v>187.81452384000002</v>
      </c>
      <c r="O19" s="112">
        <f>[12]Связь221!$U$8/1000</f>
        <v>246.8</v>
      </c>
      <c r="P19" s="112">
        <f>[13]Связь!$U$8/1000</f>
        <v>238.8</v>
      </c>
      <c r="Q19" s="112">
        <f>[14]Связь!$U$8/1000</f>
        <v>154.19507999999999</v>
      </c>
      <c r="R19" s="112">
        <f>[15]Связь!$U$14/1000</f>
        <v>259.35996</v>
      </c>
      <c r="S19" s="112">
        <f>[16]Связь!$U$8/1000</f>
        <v>128.81948159999999</v>
      </c>
      <c r="T19" s="112">
        <f>[17]Связь!$U$8/1000</f>
        <v>143.87474399999999</v>
      </c>
      <c r="U19" s="113">
        <f t="shared" si="2"/>
        <v>919405.67237266898</v>
      </c>
    </row>
    <row r="20" spans="1:22" ht="15" hidden="1" customHeight="1" x14ac:dyDescent="0.2">
      <c r="A20" s="108" t="s">
        <v>239</v>
      </c>
      <c r="B20" s="95">
        <v>222</v>
      </c>
      <c r="C20" s="114">
        <f>[55]СМЕТА!$D$26</f>
        <v>0</v>
      </c>
      <c r="D20" s="112">
        <f>[18]СМЕТА!$D$26</f>
        <v>396444</v>
      </c>
      <c r="E20" s="112">
        <f>[2]СМЕТА!$D$26</f>
        <v>216248.37</v>
      </c>
      <c r="F20" s="112">
        <f>[41]СМЕТА!$D$26</f>
        <v>178.24</v>
      </c>
      <c r="G20" s="112">
        <f>[4]СМЕТА!$D$26</f>
        <v>230.4</v>
      </c>
      <c r="H20" s="112">
        <f>[42]СМЕТА!$D$26</f>
        <v>280</v>
      </c>
      <c r="I20" s="112">
        <f>[6]СМЕТА!$D$26</f>
        <v>231.4</v>
      </c>
      <c r="J20" s="112">
        <f>[43]СМЕТА!$D$26</f>
        <v>90</v>
      </c>
      <c r="K20" s="112">
        <f>[44]СМЕТА!$D$26</f>
        <v>0</v>
      </c>
      <c r="L20" s="112">
        <f>[9]СМЕТА!$D$26</f>
        <v>13</v>
      </c>
      <c r="M20" s="112">
        <f>[45]СМЕТА!$D$26</f>
        <v>160</v>
      </c>
      <c r="N20" s="112">
        <f>[11]СМЕТА!$D$26</f>
        <v>151</v>
      </c>
      <c r="O20" s="112">
        <f>[46]СМЕТА!$D$26</f>
        <v>159.88</v>
      </c>
      <c r="P20" s="112">
        <f>[47]СМЕТА!$D$26</f>
        <v>0</v>
      </c>
      <c r="Q20" s="112">
        <f>[48]СМЕТА!$D$26</f>
        <v>67.88045000000001</v>
      </c>
      <c r="R20" s="112">
        <f>[49]СМЕТА!$D$26</f>
        <v>160</v>
      </c>
      <c r="S20" s="112">
        <f>[50]СМЕТА!$D$26</f>
        <v>681.3</v>
      </c>
      <c r="T20" s="112">
        <f>[51]СМЕТА!$D$26</f>
        <v>0</v>
      </c>
      <c r="U20" s="113">
        <f t="shared" si="2"/>
        <v>615095.47045000014</v>
      </c>
    </row>
    <row r="21" spans="1:22" ht="15" hidden="1" customHeight="1" x14ac:dyDescent="0.2">
      <c r="A21" s="108" t="s">
        <v>240</v>
      </c>
      <c r="B21" s="95">
        <v>223</v>
      </c>
      <c r="C21" s="115">
        <f t="shared" ref="C21:T21" si="6">C22+C23+C24+C25+C26+C27+C28+C29+C30</f>
        <v>4660048.5199999996</v>
      </c>
      <c r="D21" s="115">
        <f t="shared" si="6"/>
        <v>11281627.08</v>
      </c>
      <c r="E21" s="115">
        <f t="shared" si="6"/>
        <v>5906458.0200000005</v>
      </c>
      <c r="F21" s="115">
        <f t="shared" si="6"/>
        <v>11691.647177979999</v>
      </c>
      <c r="G21" s="115">
        <f t="shared" si="6"/>
        <v>2840.3394403111115</v>
      </c>
      <c r="H21" s="115">
        <f t="shared" si="6"/>
        <v>7829.2290000000003</v>
      </c>
      <c r="I21" s="115">
        <f t="shared" si="6"/>
        <v>9952.5756950000014</v>
      </c>
      <c r="J21" s="115">
        <f t="shared" si="6"/>
        <v>2771.1839999999997</v>
      </c>
      <c r="K21" s="115">
        <f t="shared" si="6"/>
        <v>4465.5855302</v>
      </c>
      <c r="L21" s="115">
        <f t="shared" si="6"/>
        <v>212.12700000000001</v>
      </c>
      <c r="M21" s="115">
        <f t="shared" si="6"/>
        <v>5602.146740000001</v>
      </c>
      <c r="N21" s="115">
        <f t="shared" si="6"/>
        <v>6729.1949999999997</v>
      </c>
      <c r="O21" s="115">
        <f t="shared" si="6"/>
        <v>2829.9670000000001</v>
      </c>
      <c r="P21" s="115">
        <f t="shared" si="6"/>
        <v>4572.1139999999996</v>
      </c>
      <c r="Q21" s="115">
        <f t="shared" si="6"/>
        <v>2602.4258071628801</v>
      </c>
      <c r="R21" s="115">
        <f t="shared" si="6"/>
        <v>2504.7460000000001</v>
      </c>
      <c r="S21" s="115">
        <f t="shared" si="6"/>
        <v>9999.1609807227669</v>
      </c>
      <c r="T21" s="115">
        <f t="shared" si="6"/>
        <v>3179.739</v>
      </c>
      <c r="U21" s="110">
        <f>SUM(C21:T21)</f>
        <v>21925915.802371379</v>
      </c>
      <c r="V21" s="99"/>
    </row>
    <row r="22" spans="1:22" ht="15" hidden="1" customHeight="1" x14ac:dyDescent="0.2">
      <c r="A22" s="116" t="s">
        <v>241</v>
      </c>
      <c r="B22" s="117"/>
      <c r="C22" s="118">
        <f>'[56]КУ ДК'!$H$26</f>
        <v>115535.77</v>
      </c>
      <c r="D22" s="118">
        <f>'[56]КУ ДК'!$H$41</f>
        <v>139022.6</v>
      </c>
      <c r="E22" s="118">
        <f>'[56]КУ ДК'!$H$36</f>
        <v>2279247</v>
      </c>
      <c r="F22" s="118">
        <f>[57]ЭЭ!$O$51/1000</f>
        <v>1009.689</v>
      </c>
      <c r="G22" s="118">
        <f>[57]ЭЭ!$O$22/1000</f>
        <v>493.97</v>
      </c>
      <c r="H22" s="118">
        <f>[57]ЭЭ!$O$57/1000</f>
        <v>1078.183</v>
      </c>
      <c r="I22" s="118">
        <f>[57]ЭЭ!$O$19/1000</f>
        <v>1085.5809999999999</v>
      </c>
      <c r="J22" s="118">
        <f>[57]ЭЭ!$O$16/1000</f>
        <v>277.88299999999998</v>
      </c>
      <c r="K22" s="118">
        <f>[57]ЭЭ!$O$13/1000</f>
        <v>1347.021</v>
      </c>
      <c r="L22" s="118">
        <f>[57]ЭЭ!$O$29/1000</f>
        <v>212.12700000000001</v>
      </c>
      <c r="M22" s="118">
        <f>[57]ЭЭ!$O$66/1000</f>
        <v>342.78800000000001</v>
      </c>
      <c r="N22" s="118">
        <f>([57]ЭЭ!$O$47+[57]ЭЭ!$O$48)/1000</f>
        <v>314.42700000000002</v>
      </c>
      <c r="O22" s="118">
        <f>[57]ЭЭ!$O$64/1000</f>
        <v>500.13799999999998</v>
      </c>
      <c r="P22" s="118">
        <f>[57]ЭЭ!$O$59/1000</f>
        <v>510.55399999999997</v>
      </c>
      <c r="Q22" s="118">
        <f>[57]ЭЭ!$O$68/1000</f>
        <v>467.56</v>
      </c>
      <c r="R22" s="118">
        <f>[57]ЭЭ!$O$31/1000</f>
        <v>463.67599999999999</v>
      </c>
      <c r="S22" s="118">
        <f>([57]ЭЭ!$O$54+[57]ЭЭ!$O$55)/1000</f>
        <v>294.916</v>
      </c>
      <c r="T22" s="118">
        <f>[57]ЭЭ!$O$62/1000</f>
        <v>620.50099999999998</v>
      </c>
      <c r="U22" s="113">
        <f t="shared" ref="U22:U30" si="7">SUM(C22:T22)</f>
        <v>2542824.3840000005</v>
      </c>
      <c r="V22" s="99"/>
    </row>
    <row r="23" spans="1:22" ht="15" hidden="1" customHeight="1" x14ac:dyDescent="0.2">
      <c r="A23" s="116" t="s">
        <v>242</v>
      </c>
      <c r="B23" s="117"/>
      <c r="C23" s="118">
        <f>'[56]КУ ДК'!$M$26</f>
        <v>4473309.51</v>
      </c>
      <c r="D23" s="118">
        <f>'[56]КУ ДК'!$M$41</f>
        <v>10984958.92</v>
      </c>
      <c r="E23" s="118">
        <f>'[56]КУ ДК'!$M$36</f>
        <v>3323480.57</v>
      </c>
      <c r="F23" s="118">
        <f>([57]Теплоэн!$O$29+[57]Теплоэн!$O$30+[57]Теплоэн!$O$31)/1000</f>
        <v>10289.268</v>
      </c>
      <c r="G23" s="118">
        <f>[57]Теплоэн!$O$25/1000</f>
        <v>2205.125</v>
      </c>
      <c r="H23" s="118">
        <f>[57]Теплоэн!$O$59/1000</f>
        <v>6555.6120000000001</v>
      </c>
      <c r="I23" s="118">
        <f>[57]Теплоэн!$O$17/1000</f>
        <v>8847.2890000000007</v>
      </c>
      <c r="J23" s="118">
        <f>[57]Теплоэн!$O$57/1000</f>
        <v>2361.9299999999998</v>
      </c>
      <c r="K23" s="118">
        <f>[57]Теплоэн!$O$14/1000</f>
        <v>3011.36</v>
      </c>
      <c r="L23" s="104">
        <v>0</v>
      </c>
      <c r="M23" s="118">
        <f>[57]Теплоэн!$O$50/1000</f>
        <v>4764.0720000000001</v>
      </c>
      <c r="N23" s="118">
        <f>[57]Теплоэн!$O$53/1000</f>
        <v>6377.2830000000004</v>
      </c>
      <c r="O23" s="118">
        <f>[57]Теплоэн!$O$55/1000</f>
        <v>2320.0720000000001</v>
      </c>
      <c r="P23" s="118">
        <f>[57]Теплоэн!$O$46/1000</f>
        <v>3667.4459999999999</v>
      </c>
      <c r="Q23" s="118">
        <f>[57]Теплоэн!$O$67/1000</f>
        <v>1868.279</v>
      </c>
      <c r="R23" s="118">
        <f>[57]Теплоэн!$O$34/1000</f>
        <v>1953.4870000000001</v>
      </c>
      <c r="S23" s="118">
        <f>[57]Теплоэн!$O$44/1000</f>
        <v>9596.1720000000005</v>
      </c>
      <c r="T23" s="118">
        <f>[57]Теплоэн!$O$48/1000</f>
        <v>2465.8159999999998</v>
      </c>
      <c r="U23" s="113">
        <f t="shared" si="7"/>
        <v>18848032.210999995</v>
      </c>
      <c r="V23" s="99"/>
    </row>
    <row r="24" spans="1:22" ht="15" hidden="1" customHeight="1" x14ac:dyDescent="0.2">
      <c r="A24" s="116" t="s">
        <v>243</v>
      </c>
      <c r="B24" s="117"/>
      <c r="C24" s="118">
        <f>'[56]КУ ДК'!$AT$26</f>
        <v>71203.240000000005</v>
      </c>
      <c r="D24" s="118">
        <f>'[56]КУ ДК'!$AT$41</f>
        <v>157645.56</v>
      </c>
      <c r="E24" s="118">
        <f>'[56]КУ ДК'!$AT$36</f>
        <v>303730.45</v>
      </c>
      <c r="F24" s="118">
        <f>[57]ТКО!$O$29/1000</f>
        <v>332.20400000000001</v>
      </c>
      <c r="G24" s="118">
        <f>[57]ТКО!$O$24/1000</f>
        <v>141.24444031111111</v>
      </c>
      <c r="H24" s="118">
        <f>[57]ТКО!$O$52/1000</f>
        <v>195.434</v>
      </c>
      <c r="I24" s="118">
        <f>[57]ТКО!$O$16/1000</f>
        <v>19.705694999999999</v>
      </c>
      <c r="J24" s="118">
        <f>[57]ТКО!$O$50/1000</f>
        <v>131.37100000000001</v>
      </c>
      <c r="K24" s="118">
        <v>0</v>
      </c>
      <c r="L24" s="118">
        <v>0</v>
      </c>
      <c r="M24" s="118">
        <v>0</v>
      </c>
      <c r="N24" s="118">
        <f>[57]ТКО!$O$46/1000</f>
        <v>37.484999999999999</v>
      </c>
      <c r="O24" s="118">
        <f>[57]ТКО!$O$48/1000</f>
        <v>9.7569999999999997</v>
      </c>
      <c r="P24" s="118">
        <f>[57]ТКО!$O$41/1000</f>
        <v>394.11399999999998</v>
      </c>
      <c r="Q24" s="118">
        <f>[57]ТКО!$O$60/1000</f>
        <v>60.993000000000002</v>
      </c>
      <c r="R24" s="118">
        <f>[57]ТКО!$O$32/1000</f>
        <v>87.582999999999998</v>
      </c>
      <c r="S24" s="118">
        <f>([57]ТКО!$O$38+[57]ТКО!$O$39)/1000</f>
        <v>96.07</v>
      </c>
      <c r="T24" s="118">
        <f>[57]ТКО!$O$43/1000</f>
        <v>93.421999999999997</v>
      </c>
      <c r="U24" s="113">
        <f t="shared" si="7"/>
        <v>534178.63313531107</v>
      </c>
      <c r="V24" s="99"/>
    </row>
    <row r="25" spans="1:22" ht="15" hidden="1" customHeight="1" x14ac:dyDescent="0.2">
      <c r="A25" s="116" t="s">
        <v>244</v>
      </c>
      <c r="B25" s="117"/>
      <c r="C25" s="118">
        <v>0</v>
      </c>
      <c r="D25" s="118">
        <v>0</v>
      </c>
      <c r="E25" s="118">
        <v>0</v>
      </c>
      <c r="F25" s="118">
        <v>0</v>
      </c>
      <c r="G25" s="118">
        <v>0</v>
      </c>
      <c r="H25" s="118">
        <v>0</v>
      </c>
      <c r="I25" s="118">
        <v>0</v>
      </c>
      <c r="J25" s="118">
        <v>0</v>
      </c>
      <c r="K25" s="118">
        <v>0</v>
      </c>
      <c r="L25" s="118">
        <v>0</v>
      </c>
      <c r="M25" s="118">
        <v>0</v>
      </c>
      <c r="N25" s="118">
        <v>0</v>
      </c>
      <c r="O25" s="118">
        <v>0</v>
      </c>
      <c r="P25" s="118">
        <v>0</v>
      </c>
      <c r="Q25" s="118">
        <f>[57]КУ!$N$3/1000</f>
        <v>26.817748814079998</v>
      </c>
      <c r="R25" s="118">
        <v>0</v>
      </c>
      <c r="S25" s="118">
        <f>[57]КУ!$N$4/1000</f>
        <v>0.99833541076799992</v>
      </c>
      <c r="T25" s="118">
        <v>0</v>
      </c>
      <c r="U25" s="113">
        <f t="shared" si="7"/>
        <v>27.816084224847998</v>
      </c>
      <c r="V25" s="99"/>
    </row>
    <row r="26" spans="1:22" ht="15" hidden="1" customHeight="1" x14ac:dyDescent="0.2">
      <c r="A26" s="116" t="s">
        <v>245</v>
      </c>
      <c r="B26" s="117"/>
      <c r="C26" s="118">
        <v>0</v>
      </c>
      <c r="D26" s="118">
        <v>0</v>
      </c>
      <c r="E26" s="118">
        <v>0</v>
      </c>
      <c r="F26" s="118">
        <v>0</v>
      </c>
      <c r="G26" s="118">
        <v>0</v>
      </c>
      <c r="H26" s="118">
        <v>0</v>
      </c>
      <c r="I26" s="118">
        <v>0</v>
      </c>
      <c r="J26" s="118">
        <v>0</v>
      </c>
      <c r="K26" s="118">
        <v>0</v>
      </c>
      <c r="L26" s="118">
        <v>0</v>
      </c>
      <c r="M26" s="118">
        <v>0</v>
      </c>
      <c r="N26" s="118">
        <v>0</v>
      </c>
      <c r="O26" s="118">
        <v>0</v>
      </c>
      <c r="P26" s="118">
        <v>0</v>
      </c>
      <c r="Q26" s="118">
        <v>0</v>
      </c>
      <c r="R26" s="118">
        <v>0</v>
      </c>
      <c r="S26" s="118">
        <f>[57]КУ!$I$9/1000</f>
        <v>11.004645312000001</v>
      </c>
      <c r="T26" s="118">
        <v>0</v>
      </c>
      <c r="U26" s="113">
        <f t="shared" si="7"/>
        <v>11.004645312000001</v>
      </c>
      <c r="V26" s="99"/>
    </row>
    <row r="27" spans="1:22" ht="15" hidden="1" customHeight="1" x14ac:dyDescent="0.2">
      <c r="A27" s="116" t="s">
        <v>246</v>
      </c>
      <c r="B27" s="117"/>
      <c r="C27" s="118">
        <v>0</v>
      </c>
      <c r="D27" s="118">
        <v>0</v>
      </c>
      <c r="E27" s="118">
        <v>0</v>
      </c>
      <c r="F27" s="118">
        <v>0</v>
      </c>
      <c r="G27" s="118">
        <v>0</v>
      </c>
      <c r="H27" s="118">
        <v>0</v>
      </c>
      <c r="I27" s="118">
        <v>0</v>
      </c>
      <c r="J27" s="118">
        <v>0</v>
      </c>
      <c r="K27" s="118">
        <v>0</v>
      </c>
      <c r="L27" s="118">
        <v>0</v>
      </c>
      <c r="M27" s="118">
        <v>0</v>
      </c>
      <c r="N27" s="118">
        <v>0</v>
      </c>
      <c r="O27" s="118">
        <v>0</v>
      </c>
      <c r="P27" s="118">
        <v>0</v>
      </c>
      <c r="Q27" s="118">
        <f>[57]КУ!$I$13/1000</f>
        <v>8.8512775488000006</v>
      </c>
      <c r="R27" s="118">
        <v>0</v>
      </c>
      <c r="S27" s="118">
        <v>0</v>
      </c>
      <c r="T27" s="118">
        <v>0</v>
      </c>
      <c r="U27" s="113">
        <f t="shared" si="7"/>
        <v>8.8512775488000006</v>
      </c>
      <c r="V27" s="99"/>
    </row>
    <row r="28" spans="1:22" ht="15" hidden="1" customHeight="1" x14ac:dyDescent="0.2">
      <c r="A28" s="116" t="s">
        <v>247</v>
      </c>
      <c r="B28" s="117"/>
      <c r="C28" s="118">
        <v>0</v>
      </c>
      <c r="D28" s="118">
        <v>0</v>
      </c>
      <c r="E28" s="118">
        <v>0</v>
      </c>
      <c r="F28" s="118">
        <v>0</v>
      </c>
      <c r="G28" s="118">
        <v>0</v>
      </c>
      <c r="H28" s="118">
        <v>0</v>
      </c>
      <c r="I28" s="118">
        <v>0</v>
      </c>
      <c r="J28" s="118">
        <v>0</v>
      </c>
      <c r="K28" s="118">
        <v>0</v>
      </c>
      <c r="L28" s="118">
        <v>0</v>
      </c>
      <c r="M28" s="118">
        <v>0</v>
      </c>
      <c r="N28" s="118">
        <v>0</v>
      </c>
      <c r="O28" s="118">
        <v>0</v>
      </c>
      <c r="P28" s="118">
        <v>0</v>
      </c>
      <c r="Q28" s="118">
        <f>[57]КУ!$K$18/1000</f>
        <v>169.92478080000001</v>
      </c>
      <c r="R28" s="118">
        <v>0</v>
      </c>
      <c r="S28" s="118">
        <v>0</v>
      </c>
      <c r="T28" s="118">
        <v>0</v>
      </c>
      <c r="U28" s="113">
        <f t="shared" si="7"/>
        <v>169.92478080000001</v>
      </c>
      <c r="V28" s="99"/>
    </row>
    <row r="29" spans="1:22" ht="15" hidden="1" customHeight="1" x14ac:dyDescent="0.2">
      <c r="A29" s="116" t="s">
        <v>248</v>
      </c>
      <c r="B29" s="117"/>
      <c r="C29" s="118">
        <v>0</v>
      </c>
      <c r="D29" s="118">
        <v>0</v>
      </c>
      <c r="E29" s="118">
        <v>0</v>
      </c>
      <c r="F29" s="118">
        <f>([57]КУ!$N$46+[57]КУ!$N$47+[57]КУ!$N$48)/1000</f>
        <v>60.486177979999994</v>
      </c>
      <c r="G29" s="118">
        <v>0</v>
      </c>
      <c r="H29" s="118">
        <v>0</v>
      </c>
      <c r="I29" s="118">
        <v>0</v>
      </c>
      <c r="J29" s="118">
        <v>0</v>
      </c>
      <c r="K29" s="118">
        <f>[57]КУ!$N$45/1000</f>
        <v>107.20453020000001</v>
      </c>
      <c r="L29" s="118">
        <v>0</v>
      </c>
      <c r="M29" s="118">
        <v>0</v>
      </c>
      <c r="N29" s="118">
        <v>0</v>
      </c>
      <c r="O29" s="118">
        <v>0</v>
      </c>
      <c r="P29" s="118">
        <v>0</v>
      </c>
      <c r="Q29" s="118">
        <v>0</v>
      </c>
      <c r="R29" s="118">
        <v>0</v>
      </c>
      <c r="S29" s="118">
        <v>0</v>
      </c>
      <c r="T29" s="118">
        <v>0</v>
      </c>
      <c r="U29" s="113">
        <f t="shared" si="7"/>
        <v>167.69070818</v>
      </c>
      <c r="V29" s="99"/>
    </row>
    <row r="30" spans="1:22" ht="15" hidden="1" customHeight="1" x14ac:dyDescent="0.2">
      <c r="A30" s="116" t="s">
        <v>249</v>
      </c>
      <c r="B30" s="117"/>
      <c r="C30" s="118">
        <v>0</v>
      </c>
      <c r="D30" s="118">
        <v>0</v>
      </c>
      <c r="E30" s="118">
        <v>0</v>
      </c>
      <c r="F30" s="118">
        <v>0</v>
      </c>
      <c r="G30" s="118">
        <v>0</v>
      </c>
      <c r="H30" s="118">
        <v>0</v>
      </c>
      <c r="I30" s="118">
        <v>0</v>
      </c>
      <c r="J30" s="118">
        <v>0</v>
      </c>
      <c r="K30" s="118">
        <v>0</v>
      </c>
      <c r="L30" s="118">
        <v>0</v>
      </c>
      <c r="M30" s="118">
        <f>([57]КУ!$I$21+[57]КУ!$G$28)/1000</f>
        <v>495.28674000000007</v>
      </c>
      <c r="N30" s="118">
        <v>0</v>
      </c>
      <c r="O30" s="118">
        <v>0</v>
      </c>
      <c r="P30" s="118">
        <v>0</v>
      </c>
      <c r="Q30" s="118">
        <v>0</v>
      </c>
      <c r="R30" s="118">
        <v>0</v>
      </c>
      <c r="S30" s="118">
        <v>0</v>
      </c>
      <c r="T30" s="118">
        <v>0</v>
      </c>
      <c r="U30" s="113">
        <f t="shared" si="7"/>
        <v>495.28674000000007</v>
      </c>
      <c r="V30" s="99"/>
    </row>
    <row r="31" spans="1:22" ht="14.25" hidden="1" customHeight="1" x14ac:dyDescent="0.2">
      <c r="A31" s="108" t="s">
        <v>250</v>
      </c>
      <c r="B31" s="119" t="s">
        <v>251</v>
      </c>
      <c r="C31" s="111">
        <f>'[52]Выплаты на Селе'!L11</f>
        <v>160320</v>
      </c>
      <c r="D31" s="111">
        <f>'[52]Выплаты на Селе'!L14</f>
        <v>560160</v>
      </c>
      <c r="E31" s="111">
        <f>'[52]Выплаты на Селе'!L13</f>
        <v>141120</v>
      </c>
      <c r="F31" s="120">
        <f>'[53]СЕЛО выплата спец на селе'!$L$18</f>
        <v>161.30000000000001</v>
      </c>
      <c r="G31" s="120">
        <f>'[53]СЕЛО выплата спец на селе'!$L$11</f>
        <v>382.1</v>
      </c>
      <c r="H31" s="120">
        <f>'[53]СЕЛО выплата спец на селе'!$L$20</f>
        <v>200.6</v>
      </c>
      <c r="I31" s="120">
        <f>'[53]СЕЛО выплата спец на селе'!$L$10</f>
        <v>281.3</v>
      </c>
      <c r="J31" s="120">
        <f>'[53]СЕЛО выплата спец на селе'!$L$9</f>
        <v>120.5</v>
      </c>
      <c r="K31" s="120">
        <f>'[53]СЕЛО выплата спец на селе'!$L$8</f>
        <v>160.30000000000001</v>
      </c>
      <c r="L31" s="120">
        <f>'[53]СЕЛО выплата спец на селе'!$L$14</f>
        <v>160.30000000000001</v>
      </c>
      <c r="M31" s="120">
        <f>'[53]СЕЛО выплата спец на селе'!$L$24</f>
        <v>160.80000000000001</v>
      </c>
      <c r="N31" s="120">
        <f>'[53]СЕЛО выплата спец на селе'!$L$17</f>
        <v>240.5</v>
      </c>
      <c r="O31" s="120">
        <f>'[53]СЕЛО выплата спец на селе'!$L$23</f>
        <v>120.5</v>
      </c>
      <c r="P31" s="120">
        <f>'[53]СЕЛО выплата спец на селе'!$L$21</f>
        <v>80.599999999999994</v>
      </c>
      <c r="Q31" s="120">
        <v>0</v>
      </c>
      <c r="R31" s="120">
        <f>'[53]СЕЛО выплата спец на селе'!$L$12</f>
        <v>320.60000000000002</v>
      </c>
      <c r="S31" s="120">
        <f>'[53]СЕЛО выплата спец на селе'!$L$19</f>
        <v>742.1</v>
      </c>
      <c r="T31" s="120">
        <f>'[53]СЕЛО выплата спец на селе'!$L$22</f>
        <v>60.5</v>
      </c>
      <c r="U31" s="121">
        <f t="shared" ref="U31" si="8">SUM(C31:T31)</f>
        <v>864792.00000000012</v>
      </c>
    </row>
    <row r="32" spans="1:22" ht="30" hidden="1" customHeight="1" x14ac:dyDescent="0.2">
      <c r="A32" s="108" t="s">
        <v>252</v>
      </c>
      <c r="B32" s="122">
        <v>225</v>
      </c>
      <c r="C32" s="123">
        <f>[1]СМЕТА!$E$29</f>
        <v>92552.646240000016</v>
      </c>
      <c r="D32" s="124">
        <f>[18]СМЕТА!$D$29</f>
        <v>149657.78000000003</v>
      </c>
      <c r="E32" s="124">
        <f>[2]СМЕТА!$D$29</f>
        <v>130540</v>
      </c>
      <c r="F32" s="112">
        <f>[41]СМЕТА!$D$29</f>
        <v>312.79000000000002</v>
      </c>
      <c r="G32" s="112">
        <f>[4]СМЕТА!$D$29</f>
        <v>142.05152000000001</v>
      </c>
      <c r="H32" s="112">
        <f>[42]СМЕТА!$D$29</f>
        <v>768.36882534720007</v>
      </c>
      <c r="I32" s="112">
        <f>[6]СМЕТА!$D$29</f>
        <v>541.09353119999992</v>
      </c>
      <c r="J32" s="112">
        <f>[43]СМЕТА!$D$29</f>
        <v>213.53039999999999</v>
      </c>
      <c r="K32" s="112">
        <f>[44]СМЕТА!$D$29</f>
        <v>115.40423999999999</v>
      </c>
      <c r="L32" s="112">
        <f>[9]СМЕТА!$D$29</f>
        <v>133.61600000000001</v>
      </c>
      <c r="M32" s="112">
        <f>[45]СМЕТА!$D$29</f>
        <v>185</v>
      </c>
      <c r="N32" s="112">
        <f>[11]СМЕТА!$D$29</f>
        <v>1031.54</v>
      </c>
      <c r="O32" s="112">
        <f>[46]СМЕТА!$D$29</f>
        <v>192.43518581040001</v>
      </c>
      <c r="P32" s="112">
        <f>[47]СМЕТА!$D$29</f>
        <v>821.55600112719992</v>
      </c>
      <c r="Q32" s="125">
        <f>[48]СМЕТА!$D$29</f>
        <v>2042.5806699999998</v>
      </c>
      <c r="R32" s="125">
        <f>[49]СМЕТА!$D$29</f>
        <v>634.7206799999999</v>
      </c>
      <c r="S32" s="125">
        <f>[50]СМЕТА!$D$29+[53]ремонты!$L$5+[53]ремонты!$L$6+[53]ремонты!$L$7</f>
        <v>8098.6559999999999</v>
      </c>
      <c r="T32" s="125">
        <f>[51]СМЕТА!$D$29</f>
        <v>153.32468320000001</v>
      </c>
      <c r="U32" s="113">
        <f t="shared" si="2"/>
        <v>388137.09397668479</v>
      </c>
    </row>
    <row r="33" spans="1:22" ht="25.5" hidden="1" x14ac:dyDescent="0.2">
      <c r="A33" s="108" t="s">
        <v>253</v>
      </c>
      <c r="B33" s="122">
        <v>226</v>
      </c>
      <c r="C33" s="114">
        <f>[1]СМЕТА!$E$30</f>
        <v>284320</v>
      </c>
      <c r="D33" s="124">
        <f>[18]СМЕТА!$D$30</f>
        <v>460160</v>
      </c>
      <c r="E33" s="124">
        <f>[2]СМЕТА!$D$30</f>
        <v>346473.7</v>
      </c>
      <c r="F33" s="112">
        <f>[41]СМЕТА!$D$30</f>
        <v>331.5</v>
      </c>
      <c r="G33" s="112">
        <f>[4]СМЕТА!$D$30</f>
        <v>287.83999999999997</v>
      </c>
      <c r="H33" s="112">
        <f>[42]СМЕТА!$D$30</f>
        <v>456.38</v>
      </c>
      <c r="I33" s="112">
        <f>[6]СМЕТА!$D$30</f>
        <v>382.74</v>
      </c>
      <c r="J33" s="112">
        <f>[43]СМЕТА!$D$30</f>
        <v>104.6</v>
      </c>
      <c r="K33" s="112">
        <f>[44]СМЕТА!$D$30</f>
        <v>265.52</v>
      </c>
      <c r="L33" s="112">
        <f>[9]СМЕТА!$D$30</f>
        <v>284.76</v>
      </c>
      <c r="M33" s="112">
        <f>[45]СМЕТА!$D$30</f>
        <v>504.52</v>
      </c>
      <c r="N33" s="112">
        <f>[11]СМЕТА!$D$30</f>
        <v>238.2</v>
      </c>
      <c r="O33" s="112">
        <f>[46]СМЕТА!$D$30</f>
        <v>224.36</v>
      </c>
      <c r="P33" s="112">
        <f>[47]СМЕТА!$D$30</f>
        <v>234.839856</v>
      </c>
      <c r="Q33" s="125">
        <f>[48]СМЕТА!$D$30</f>
        <v>228.38300000000001</v>
      </c>
      <c r="R33" s="125">
        <f>[49]СМЕТА!$D$30</f>
        <v>327.64</v>
      </c>
      <c r="S33" s="125">
        <f>[50]СМЕТА!$D$30</f>
        <v>618.30600000000004</v>
      </c>
      <c r="T33" s="125">
        <f>[51]СМЕТА!$D$30</f>
        <v>225.54</v>
      </c>
      <c r="U33" s="113">
        <f t="shared" si="2"/>
        <v>1095668.828856</v>
      </c>
      <c r="V33" s="99"/>
    </row>
    <row r="34" spans="1:22" ht="15" hidden="1" customHeight="1" x14ac:dyDescent="0.2">
      <c r="A34" s="108" t="s">
        <v>254</v>
      </c>
      <c r="B34" s="122">
        <v>226</v>
      </c>
      <c r="C34" s="114">
        <f>'[58]СВОД 1'!$R$32</f>
        <v>1314600</v>
      </c>
      <c r="D34" s="124">
        <f>'[58]СВОД 1'!$R$36+'[58]СВОД 1'!$R$37+'[58]СВОД 1'!$R$38</f>
        <v>4218200</v>
      </c>
      <c r="E34" s="124">
        <f>'[58]СВОД 1'!$R$39</f>
        <v>2591400</v>
      </c>
      <c r="F34" s="112">
        <f>'[59]СВОД 1'!$Z$31</f>
        <v>1736</v>
      </c>
      <c r="G34" s="112">
        <f>'[59]СВОД 1'!$Z$30</f>
        <v>1976.8</v>
      </c>
      <c r="H34" s="112">
        <f>'[59]СВОД 1'!$Z$29</f>
        <v>1752.8</v>
      </c>
      <c r="I34" s="112">
        <f>'[59]СВОД 1'!$Z$28</f>
        <v>2262.4</v>
      </c>
      <c r="J34" s="112">
        <f>'[59]СВОД 1'!$Z$43</f>
        <v>1606.5</v>
      </c>
      <c r="K34" s="112">
        <f>'[59]СВОД 1'!$Z$44</f>
        <v>1318.8</v>
      </c>
      <c r="L34" s="112">
        <f>'[59]СВОД 1'!$Z$27</f>
        <v>1303.4000000000001</v>
      </c>
      <c r="M34" s="126">
        <f>'[59]СВОД 1'!$Z$45</f>
        <v>0</v>
      </c>
      <c r="N34" s="126"/>
      <c r="O34" s="112">
        <f>'[59]СВОД 1'!$Z$40</f>
        <v>1827</v>
      </c>
      <c r="P34" s="112">
        <f>'[59]СВОД 1'!$Z$41</f>
        <v>1083.5999999999999</v>
      </c>
      <c r="Q34" s="126">
        <f>'[59]СВОД 1'!$Z$46</f>
        <v>0</v>
      </c>
      <c r="R34" s="125">
        <f>'[59]СВОД 1'!$Z$35</f>
        <v>1876.7</v>
      </c>
      <c r="S34" s="125">
        <f>'[59]СВОД 1'!$Z$34</f>
        <v>2433.1999999999998</v>
      </c>
      <c r="T34" s="125">
        <f>'[59]СВОД 1'!$Z$33</f>
        <v>1295</v>
      </c>
      <c r="U34" s="113">
        <f>SUM(C34:T34)</f>
        <v>8144672.2000000002</v>
      </c>
      <c r="V34" s="99"/>
    </row>
    <row r="35" spans="1:22" ht="15" hidden="1" customHeight="1" x14ac:dyDescent="0.2">
      <c r="A35" s="108" t="s">
        <v>255</v>
      </c>
      <c r="B35" s="127">
        <v>291</v>
      </c>
      <c r="C35" s="114">
        <f>[1]СМЕТА!$E$32</f>
        <v>0</v>
      </c>
      <c r="D35" s="124">
        <f>[18]СМЕТА!$D$32</f>
        <v>2523</v>
      </c>
      <c r="E35" s="124">
        <f>[2]СМЕТА!$D$32</f>
        <v>171363</v>
      </c>
      <c r="F35" s="112">
        <f>[41]СМЕТА!$D$32</f>
        <v>0</v>
      </c>
      <c r="G35" s="112">
        <f>[4]СМЕТА!$D$32</f>
        <v>10.023</v>
      </c>
      <c r="H35" s="112">
        <f>[42]СМЕТА!$D$32</f>
        <v>170.108</v>
      </c>
      <c r="I35" s="112">
        <f>[6]СМЕТА!$D$32</f>
        <v>892.35900000000004</v>
      </c>
      <c r="J35" s="112">
        <f>[43]СМЕТА!$D$32</f>
        <v>0</v>
      </c>
      <c r="K35" s="112">
        <f>[44]СМЕТА!$D$32</f>
        <v>2.2440000000000002</v>
      </c>
      <c r="L35" s="112">
        <f>[9]СМЕТА!$D$32</f>
        <v>0</v>
      </c>
      <c r="M35" s="112">
        <f>[45]СМЕТА!$D$32</f>
        <v>0</v>
      </c>
      <c r="N35" s="112">
        <f>[11]СМЕТА!$D$32</f>
        <v>2.4790000000000001</v>
      </c>
      <c r="O35" s="112">
        <f>[46]СМЕТА!$D$32</f>
        <v>0</v>
      </c>
      <c r="P35" s="112">
        <f>[47]СМЕТА!$D$32</f>
        <v>576.61900000000003</v>
      </c>
      <c r="Q35" s="125">
        <f>[48]СМЕТА!$D$32</f>
        <v>107.92400000000001</v>
      </c>
      <c r="R35" s="125">
        <f>[49]СМЕТА!$D$32</f>
        <v>3.6970000000000001</v>
      </c>
      <c r="S35" s="125">
        <f>[50]СМЕТА!$D$32</f>
        <v>954.846</v>
      </c>
      <c r="T35" s="125">
        <f>[51]СМЕТА!$D$32</f>
        <v>2313.944</v>
      </c>
      <c r="U35" s="113">
        <f t="shared" si="2"/>
        <v>178920.24299999996</v>
      </c>
    </row>
    <row r="36" spans="1:22" ht="15" hidden="1" customHeight="1" x14ac:dyDescent="0.2">
      <c r="A36" s="128" t="s">
        <v>256</v>
      </c>
      <c r="B36" s="122">
        <v>300</v>
      </c>
      <c r="C36" s="109">
        <f t="shared" ref="C36:I36" si="9">C37+C38</f>
        <v>160950</v>
      </c>
      <c r="D36" s="109">
        <f t="shared" si="9"/>
        <v>2511562</v>
      </c>
      <c r="E36" s="109">
        <f t="shared" si="9"/>
        <v>2003573.0000000005</v>
      </c>
      <c r="F36" s="129">
        <f t="shared" si="9"/>
        <v>2412.799</v>
      </c>
      <c r="G36" s="129">
        <f t="shared" si="9"/>
        <v>462.46000000000004</v>
      </c>
      <c r="H36" s="129">
        <f t="shared" si="9"/>
        <v>1402.5550000000001</v>
      </c>
      <c r="I36" s="129">
        <f t="shared" si="9"/>
        <v>582.37906999999996</v>
      </c>
      <c r="J36" s="129">
        <f>J37+J38</f>
        <v>64.8</v>
      </c>
      <c r="K36" s="129">
        <f t="shared" ref="K36:T36" si="10">K37+K38</f>
        <v>3015.4450000000002</v>
      </c>
      <c r="L36" s="129">
        <f t="shared" si="10"/>
        <v>315.38499999999999</v>
      </c>
      <c r="M36" s="129">
        <f t="shared" si="10"/>
        <v>2669.55</v>
      </c>
      <c r="N36" s="129">
        <f t="shared" si="10"/>
        <v>1041.056</v>
      </c>
      <c r="O36" s="129">
        <f t="shared" si="10"/>
        <v>1534.115</v>
      </c>
      <c r="P36" s="129">
        <f t="shared" si="10"/>
        <v>313.7</v>
      </c>
      <c r="Q36" s="129">
        <f t="shared" si="10"/>
        <v>5704.9246000000003</v>
      </c>
      <c r="R36" s="129">
        <f t="shared" si="10"/>
        <v>1093.453</v>
      </c>
      <c r="S36" s="129">
        <f t="shared" si="10"/>
        <v>3046.3555000000001</v>
      </c>
      <c r="T36" s="129">
        <f t="shared" si="10"/>
        <v>464.15</v>
      </c>
      <c r="U36" s="110">
        <f t="shared" si="2"/>
        <v>4700208.1271699984</v>
      </c>
    </row>
    <row r="37" spans="1:22" ht="15" hidden="1" customHeight="1" x14ac:dyDescent="0.2">
      <c r="A37" s="108" t="s">
        <v>257</v>
      </c>
      <c r="B37" s="122">
        <v>310</v>
      </c>
      <c r="C37" s="114">
        <f>[1]СМЕТА!$E$34</f>
        <v>86600</v>
      </c>
      <c r="D37" s="114">
        <f>[18]СМЕТА!$D$34</f>
        <v>2106060</v>
      </c>
      <c r="E37" s="114">
        <f>[2]СМЕТА!$D$34</f>
        <v>1582910.0000000005</v>
      </c>
      <c r="F37" s="114">
        <f>[3]СМЕТА!$D$34</f>
        <v>2028.8990000000001</v>
      </c>
      <c r="G37" s="114">
        <f>[19]СМЕТА!$D$34</f>
        <v>245</v>
      </c>
      <c r="H37" s="114">
        <f>[5]СМЕТА!$D$34</f>
        <v>954.37</v>
      </c>
      <c r="I37" s="114">
        <f>[20]СМЕТА!$D$34</f>
        <v>265.7</v>
      </c>
      <c r="J37" s="114">
        <f>[43]СМЕТА!$D$34+'[60]ОС СВОД'!$D$11</f>
        <v>0</v>
      </c>
      <c r="K37" s="114">
        <f>[8]СМЕТА!$D$34</f>
        <v>2960</v>
      </c>
      <c r="L37" s="114">
        <f>[21]СМЕТА!$D$34</f>
        <v>149.30000000000001</v>
      </c>
      <c r="M37" s="114">
        <f>[10]СМЕТА!$D$34</f>
        <v>1729.55</v>
      </c>
      <c r="N37" s="114">
        <f>[22]СМЕТА!$D$34</f>
        <v>658.5</v>
      </c>
      <c r="O37" s="114">
        <f>[12]СМЕТА!$D$34</f>
        <v>859.9</v>
      </c>
      <c r="P37" s="114">
        <f>[13]СМЕТА!$D$34</f>
        <v>100</v>
      </c>
      <c r="Q37" s="114">
        <f>[14]СМЕТА!$D$34</f>
        <v>3813.6850000000004</v>
      </c>
      <c r="R37" s="114">
        <f>[15]СМЕТА!$D$34</f>
        <v>450.40299999999996</v>
      </c>
      <c r="S37" s="114">
        <f>[16]СМЕТА!$D$34</f>
        <v>1210.0940000000001</v>
      </c>
      <c r="T37" s="114">
        <f>[17]СМЕТА!$D$34</f>
        <v>275.8</v>
      </c>
      <c r="U37" s="113">
        <f>SUM(C37:T37)</f>
        <v>3791271.2010000004</v>
      </c>
    </row>
    <row r="38" spans="1:22" ht="15" hidden="1" customHeight="1" x14ac:dyDescent="0.2">
      <c r="A38" s="108" t="s">
        <v>258</v>
      </c>
      <c r="B38" s="122">
        <v>340</v>
      </c>
      <c r="C38" s="114">
        <f>[1]СМЕТА!$E$35</f>
        <v>74350</v>
      </c>
      <c r="D38" s="114">
        <f>[18]СМЕТА!$D$35</f>
        <v>405502</v>
      </c>
      <c r="E38" s="114">
        <f>[2]СМЕТА!$D$35</f>
        <v>420663</v>
      </c>
      <c r="F38" s="114">
        <f>[41]СМЕТА!$D$35</f>
        <v>383.9</v>
      </c>
      <c r="G38" s="114">
        <f>[4]СМЕТА!$D$35</f>
        <v>217.46</v>
      </c>
      <c r="H38" s="114">
        <f>[42]СМЕТА!$D$35</f>
        <v>448.185</v>
      </c>
      <c r="I38" s="114">
        <f>[6]СМЕТА!$D$35</f>
        <v>316.67907000000002</v>
      </c>
      <c r="J38" s="114">
        <f>[43]СМЕТА!$D$35</f>
        <v>64.8</v>
      </c>
      <c r="K38" s="114">
        <f>[44]СМЕТА!$D$35</f>
        <v>55.445</v>
      </c>
      <c r="L38" s="114">
        <f>[9]СМЕТА!$D$35</f>
        <v>166.08500000000001</v>
      </c>
      <c r="M38" s="114">
        <f>[45]СМЕТА!$D$35</f>
        <v>940</v>
      </c>
      <c r="N38" s="114">
        <f>[11]СМЕТА!$D$35</f>
        <v>382.55599999999998</v>
      </c>
      <c r="O38" s="114">
        <f>[46]СМЕТА!$D$35</f>
        <v>674.21500000000003</v>
      </c>
      <c r="P38" s="114">
        <f>[47]СМЕТА!$D$35</f>
        <v>213.7</v>
      </c>
      <c r="Q38" s="114">
        <f>[48]СМЕТА!$D$35</f>
        <v>1891.2395999999999</v>
      </c>
      <c r="R38" s="114">
        <f>[49]СМЕТА!$D$35</f>
        <v>643.04999999999995</v>
      </c>
      <c r="S38" s="114">
        <f>[50]СМЕТА!$D$35</f>
        <v>1836.2615000000001</v>
      </c>
      <c r="T38" s="114">
        <f>[51]СМЕТА!$D$35</f>
        <v>188.35</v>
      </c>
      <c r="U38" s="113">
        <f t="shared" si="2"/>
        <v>908936.92616999988</v>
      </c>
      <c r="V38" s="99"/>
    </row>
    <row r="39" spans="1:22" hidden="1" x14ac:dyDescent="0.2">
      <c r="A39" s="130"/>
      <c r="C39" s="99"/>
    </row>
    <row r="40" spans="1:22" x14ac:dyDescent="0.2">
      <c r="A40" s="131" t="s">
        <v>259</v>
      </c>
      <c r="B40" s="132"/>
      <c r="C40" s="132"/>
      <c r="D40" s="133"/>
      <c r="E40" s="132"/>
      <c r="F40" s="132"/>
      <c r="G40" s="132"/>
      <c r="H40" s="132" t="s">
        <v>260</v>
      </c>
      <c r="I40" s="132"/>
      <c r="J40" s="132"/>
      <c r="K40" s="132"/>
      <c r="L40" s="132"/>
      <c r="M40" s="132"/>
      <c r="N40" s="132"/>
      <c r="O40" s="132"/>
      <c r="P40" s="132"/>
      <c r="Q40" s="132"/>
      <c r="R40" s="132"/>
      <c r="S40" s="132"/>
      <c r="T40" s="132"/>
      <c r="U40" s="132"/>
    </row>
    <row r="41" spans="1:22" ht="42" customHeight="1" x14ac:dyDescent="0.2">
      <c r="A41" s="134" t="s">
        <v>261</v>
      </c>
      <c r="B41" s="135"/>
      <c r="C41" s="135"/>
      <c r="D41" s="135"/>
      <c r="E41" s="135">
        <v>373.7</v>
      </c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13">
        <f>SUM(C41:T41)</f>
        <v>373.7</v>
      </c>
    </row>
    <row r="42" spans="1:22" ht="15" customHeight="1" x14ac:dyDescent="0.2">
      <c r="A42" s="134" t="s">
        <v>262</v>
      </c>
      <c r="B42" s="135"/>
      <c r="C42" s="135"/>
      <c r="D42" s="135"/>
      <c r="E42" s="135">
        <v>328.2</v>
      </c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13">
        <f t="shared" ref="U42:U68" si="11">SUM(C42:T42)</f>
        <v>328.2</v>
      </c>
    </row>
    <row r="43" spans="1:22" ht="38.25" x14ac:dyDescent="0.2">
      <c r="A43" s="134" t="s">
        <v>263</v>
      </c>
      <c r="B43" s="135"/>
      <c r="C43" s="135"/>
      <c r="D43" s="136">
        <v>275.39999999999998</v>
      </c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13">
        <f t="shared" si="11"/>
        <v>275.39999999999998</v>
      </c>
    </row>
    <row r="44" spans="1:22" ht="25.5" x14ac:dyDescent="0.2">
      <c r="A44" s="134" t="s">
        <v>264</v>
      </c>
      <c r="B44" s="135"/>
      <c r="C44" s="135"/>
      <c r="D44" s="136">
        <v>728.1</v>
      </c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13">
        <f t="shared" si="11"/>
        <v>728.1</v>
      </c>
    </row>
    <row r="45" spans="1:22" ht="24.75" customHeight="1" x14ac:dyDescent="0.2">
      <c r="A45" s="134" t="s">
        <v>265</v>
      </c>
      <c r="B45" s="135"/>
      <c r="C45" s="135"/>
      <c r="D45" s="136">
        <v>58.8</v>
      </c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13">
        <f t="shared" si="11"/>
        <v>58.8</v>
      </c>
    </row>
    <row r="46" spans="1:22" ht="38.25" x14ac:dyDescent="0.2">
      <c r="A46" s="134" t="s">
        <v>266</v>
      </c>
      <c r="B46" s="135"/>
      <c r="C46" s="135"/>
      <c r="D46" s="137">
        <v>370.3</v>
      </c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13">
        <f t="shared" si="11"/>
        <v>370.3</v>
      </c>
    </row>
    <row r="47" spans="1:22" ht="25.5" customHeight="1" x14ac:dyDescent="0.2">
      <c r="A47" s="134" t="s">
        <v>267</v>
      </c>
      <c r="B47" s="135"/>
      <c r="C47" s="135"/>
      <c r="D47" s="135"/>
      <c r="E47" s="135"/>
      <c r="F47" s="135"/>
      <c r="G47" s="135"/>
      <c r="H47" s="135"/>
      <c r="I47" s="135">
        <v>331.3</v>
      </c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13">
        <f t="shared" si="11"/>
        <v>331.3</v>
      </c>
    </row>
    <row r="48" spans="1:22" ht="38.25" customHeight="1" x14ac:dyDescent="0.2">
      <c r="A48" s="134" t="s">
        <v>268</v>
      </c>
      <c r="B48" s="135"/>
      <c r="C48" s="135"/>
      <c r="D48" s="135"/>
      <c r="E48" s="135"/>
      <c r="F48" s="135"/>
      <c r="G48" s="135"/>
      <c r="H48" s="135"/>
      <c r="I48" s="135">
        <v>230</v>
      </c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13">
        <f t="shared" si="11"/>
        <v>230</v>
      </c>
    </row>
    <row r="49" spans="1:21" ht="38.25" customHeight="1" x14ac:dyDescent="0.2">
      <c r="A49" s="134" t="s">
        <v>269</v>
      </c>
      <c r="B49" s="135"/>
      <c r="C49" s="135"/>
      <c r="D49" s="135"/>
      <c r="E49" s="135"/>
      <c r="F49" s="135"/>
      <c r="G49" s="135"/>
      <c r="H49" s="135"/>
      <c r="I49" s="135">
        <v>32.9</v>
      </c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13">
        <f t="shared" si="11"/>
        <v>32.9</v>
      </c>
    </row>
    <row r="50" spans="1:21" ht="27" customHeight="1" x14ac:dyDescent="0.2">
      <c r="A50" s="134" t="s">
        <v>270</v>
      </c>
      <c r="B50" s="135"/>
      <c r="C50" s="135"/>
      <c r="D50" s="135"/>
      <c r="E50" s="135"/>
      <c r="F50" s="135"/>
      <c r="G50" s="135"/>
      <c r="H50" s="135"/>
      <c r="I50" s="135">
        <v>331</v>
      </c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13">
        <f t="shared" si="11"/>
        <v>331</v>
      </c>
    </row>
    <row r="51" spans="1:21" ht="16.5" customHeight="1" x14ac:dyDescent="0.2">
      <c r="A51" s="134" t="s">
        <v>271</v>
      </c>
      <c r="B51" s="135"/>
      <c r="C51" s="135"/>
      <c r="D51" s="135"/>
      <c r="E51" s="135"/>
      <c r="F51" s="135"/>
      <c r="G51" s="135"/>
      <c r="H51" s="135"/>
      <c r="I51" s="135">
        <v>233.4</v>
      </c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13">
        <f t="shared" si="11"/>
        <v>233.4</v>
      </c>
    </row>
    <row r="52" spans="1:21" ht="24" customHeight="1" x14ac:dyDescent="0.2">
      <c r="A52" s="134" t="s">
        <v>272</v>
      </c>
      <c r="B52" s="135"/>
      <c r="C52" s="135"/>
      <c r="D52" s="135"/>
      <c r="E52" s="135"/>
      <c r="F52" s="135"/>
      <c r="G52" s="135"/>
      <c r="H52" s="135"/>
      <c r="I52" s="135">
        <v>288.5</v>
      </c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13">
        <f t="shared" si="11"/>
        <v>288.5</v>
      </c>
    </row>
    <row r="53" spans="1:21" ht="16.5" customHeight="1" x14ac:dyDescent="0.2">
      <c r="A53" s="134" t="s">
        <v>273</v>
      </c>
      <c r="B53" s="135"/>
      <c r="C53" s="135"/>
      <c r="D53" s="135"/>
      <c r="E53" s="135"/>
      <c r="F53" s="135"/>
      <c r="G53" s="135"/>
      <c r="H53" s="135"/>
      <c r="I53" s="135">
        <v>353.7</v>
      </c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13">
        <f t="shared" si="11"/>
        <v>353.7</v>
      </c>
    </row>
    <row r="54" spans="1:21" ht="62.25" customHeight="1" x14ac:dyDescent="0.2">
      <c r="A54" s="134" t="s">
        <v>274</v>
      </c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>
        <v>129.6</v>
      </c>
      <c r="R54" s="135"/>
      <c r="S54" s="135"/>
      <c r="T54" s="135"/>
      <c r="U54" s="113">
        <f t="shared" si="11"/>
        <v>129.6</v>
      </c>
    </row>
    <row r="55" spans="1:21" ht="53.25" customHeight="1" x14ac:dyDescent="0.2">
      <c r="A55" s="134" t="s">
        <v>275</v>
      </c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>
        <v>487.6</v>
      </c>
      <c r="R55" s="135"/>
      <c r="S55" s="135"/>
      <c r="T55" s="135"/>
      <c r="U55" s="113">
        <f t="shared" si="11"/>
        <v>487.6</v>
      </c>
    </row>
    <row r="56" spans="1:21" ht="42" customHeight="1" x14ac:dyDescent="0.2">
      <c r="A56" s="134" t="s">
        <v>276</v>
      </c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8"/>
      <c r="N56" s="135"/>
      <c r="O56" s="135"/>
      <c r="P56" s="135"/>
      <c r="Q56" s="135"/>
      <c r="R56" s="135"/>
      <c r="S56" s="135"/>
      <c r="T56" s="135"/>
      <c r="U56" s="113">
        <f t="shared" si="11"/>
        <v>0</v>
      </c>
    </row>
    <row r="57" spans="1:21" ht="51.75" customHeight="1" x14ac:dyDescent="0.2">
      <c r="A57" s="134" t="s">
        <v>277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>
        <v>395.1</v>
      </c>
      <c r="R57" s="135"/>
      <c r="S57" s="135"/>
      <c r="T57" s="135"/>
      <c r="U57" s="113">
        <f t="shared" si="11"/>
        <v>395.1</v>
      </c>
    </row>
    <row r="58" spans="1:21" ht="27.75" customHeight="1" x14ac:dyDescent="0.2">
      <c r="A58" s="134" t="s">
        <v>278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>
        <v>339</v>
      </c>
      <c r="R58" s="135"/>
      <c r="S58" s="135"/>
      <c r="T58" s="135"/>
      <c r="U58" s="113">
        <f t="shared" si="11"/>
        <v>339</v>
      </c>
    </row>
    <row r="59" spans="1:21" ht="29.25" customHeight="1" x14ac:dyDescent="0.2">
      <c r="A59" s="134" t="s">
        <v>279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>
        <f>1476.9+4</f>
        <v>1480.9</v>
      </c>
      <c r="R59" s="135"/>
      <c r="S59" s="135"/>
      <c r="T59" s="135"/>
      <c r="U59" s="113">
        <f t="shared" si="11"/>
        <v>1480.9</v>
      </c>
    </row>
    <row r="60" spans="1:21" ht="54" customHeight="1" x14ac:dyDescent="0.2">
      <c r="A60" s="134" t="s">
        <v>280</v>
      </c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>
        <v>301.3</v>
      </c>
      <c r="T60" s="135"/>
      <c r="U60" s="113">
        <f t="shared" si="11"/>
        <v>301.3</v>
      </c>
    </row>
    <row r="61" spans="1:21" ht="54" customHeight="1" x14ac:dyDescent="0.2">
      <c r="A61" s="134" t="s">
        <v>281</v>
      </c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>
        <v>183.9</v>
      </c>
      <c r="T61" s="135"/>
      <c r="U61" s="113">
        <f t="shared" si="11"/>
        <v>183.9</v>
      </c>
    </row>
    <row r="62" spans="1:21" ht="29.25" customHeight="1" x14ac:dyDescent="0.2">
      <c r="A62" s="134" t="s">
        <v>282</v>
      </c>
      <c r="B62" s="135"/>
      <c r="C62" s="135"/>
      <c r="D62" s="135"/>
      <c r="E62" s="135"/>
      <c r="F62" s="135">
        <v>216</v>
      </c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13">
        <f t="shared" si="11"/>
        <v>216</v>
      </c>
    </row>
    <row r="63" spans="1:21" ht="29.25" customHeight="1" x14ac:dyDescent="0.2">
      <c r="A63" s="134" t="s">
        <v>283</v>
      </c>
      <c r="B63" s="135"/>
      <c r="C63" s="135"/>
      <c r="D63" s="135"/>
      <c r="E63" s="135"/>
      <c r="F63" s="135">
        <v>863.59</v>
      </c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13">
        <f t="shared" si="11"/>
        <v>863.59</v>
      </c>
    </row>
    <row r="64" spans="1:21" ht="39" customHeight="1" x14ac:dyDescent="0.2">
      <c r="A64" s="134" t="s">
        <v>284</v>
      </c>
      <c r="B64" s="135"/>
      <c r="C64" s="135"/>
      <c r="D64" s="135"/>
      <c r="E64" s="135"/>
      <c r="F64" s="135">
        <v>767.5</v>
      </c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13">
        <f t="shared" si="11"/>
        <v>767.5</v>
      </c>
    </row>
    <row r="65" spans="1:21" ht="39" customHeight="1" x14ac:dyDescent="0.2">
      <c r="A65" s="134" t="s">
        <v>285</v>
      </c>
      <c r="B65" s="135"/>
      <c r="C65" s="135"/>
      <c r="D65" s="135"/>
      <c r="E65" s="135"/>
      <c r="F65" s="135">
        <v>1924.4</v>
      </c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13">
        <f t="shared" si="11"/>
        <v>1924.4</v>
      </c>
    </row>
    <row r="66" spans="1:21" ht="30" customHeight="1" x14ac:dyDescent="0.2">
      <c r="A66" s="134" t="s">
        <v>286</v>
      </c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8"/>
      <c r="P66" s="135"/>
      <c r="Q66" s="135"/>
      <c r="R66" s="135"/>
      <c r="S66" s="135"/>
      <c r="T66" s="135"/>
      <c r="U66" s="113">
        <f t="shared" si="11"/>
        <v>0</v>
      </c>
    </row>
    <row r="67" spans="1:21" ht="67.5" customHeight="1" x14ac:dyDescent="0.2">
      <c r="A67" s="134" t="s">
        <v>287</v>
      </c>
      <c r="B67" s="135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>
        <f>448+635.8</f>
        <v>1083.8</v>
      </c>
      <c r="S67" s="135"/>
      <c r="T67" s="135"/>
      <c r="U67" s="113">
        <f t="shared" si="11"/>
        <v>1083.8</v>
      </c>
    </row>
    <row r="68" spans="1:21" ht="27.75" customHeight="1" x14ac:dyDescent="0.2">
      <c r="A68" s="134" t="s">
        <v>288</v>
      </c>
      <c r="B68" s="135"/>
      <c r="C68" s="135"/>
      <c r="D68" s="135"/>
      <c r="E68" s="135"/>
      <c r="F68" s="135"/>
      <c r="G68" s="135"/>
      <c r="H68" s="135">
        <v>779.4</v>
      </c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13">
        <f t="shared" si="11"/>
        <v>779.4</v>
      </c>
    </row>
    <row r="69" spans="1:21" x14ac:dyDescent="0.2">
      <c r="A69" s="139" t="s">
        <v>289</v>
      </c>
      <c r="B69" s="140"/>
      <c r="C69" s="140">
        <f>SUM(C41:C67)</f>
        <v>0</v>
      </c>
      <c r="D69" s="140">
        <f t="shared" ref="D69:T69" si="12">SUM(D41:D67)</f>
        <v>1432.6</v>
      </c>
      <c r="E69" s="140">
        <f t="shared" si="12"/>
        <v>701.9</v>
      </c>
      <c r="F69" s="140">
        <f t="shared" si="12"/>
        <v>3771.4900000000002</v>
      </c>
      <c r="G69" s="140">
        <f t="shared" si="12"/>
        <v>0</v>
      </c>
      <c r="H69" s="140">
        <f>SUM(H41:H68)</f>
        <v>779.4</v>
      </c>
      <c r="I69" s="140">
        <f t="shared" si="12"/>
        <v>1800.8</v>
      </c>
      <c r="J69" s="140">
        <f t="shared" si="12"/>
        <v>0</v>
      </c>
      <c r="K69" s="140">
        <f t="shared" si="12"/>
        <v>0</v>
      </c>
      <c r="L69" s="140">
        <f t="shared" si="12"/>
        <v>0</v>
      </c>
      <c r="M69" s="140">
        <f t="shared" si="12"/>
        <v>0</v>
      </c>
      <c r="N69" s="140">
        <f t="shared" si="12"/>
        <v>0</v>
      </c>
      <c r="O69" s="140">
        <f t="shared" si="12"/>
        <v>0</v>
      </c>
      <c r="P69" s="140">
        <f t="shared" si="12"/>
        <v>0</v>
      </c>
      <c r="Q69" s="140">
        <f>SUM(Q41:Q67)</f>
        <v>2832.2000000000003</v>
      </c>
      <c r="R69" s="140">
        <f t="shared" si="12"/>
        <v>1083.8</v>
      </c>
      <c r="S69" s="140">
        <f t="shared" si="12"/>
        <v>485.20000000000005</v>
      </c>
      <c r="T69" s="140">
        <f t="shared" si="12"/>
        <v>0</v>
      </c>
      <c r="U69" s="140">
        <f>SUM(U41:U68)</f>
        <v>12887.389999999998</v>
      </c>
    </row>
    <row r="70" spans="1:21" x14ac:dyDescent="0.2">
      <c r="A70" s="141" t="s">
        <v>209</v>
      </c>
      <c r="B70" s="142"/>
      <c r="C70" s="142">
        <f>C8+C69</f>
        <v>13222903.156479999</v>
      </c>
      <c r="D70" s="142">
        <f t="shared" ref="D70:U70" si="13">D8+D69</f>
        <v>47733802.937840007</v>
      </c>
      <c r="E70" s="142">
        <f t="shared" si="13"/>
        <v>32727293.443839997</v>
      </c>
      <c r="F70" s="142">
        <f t="shared" si="13"/>
        <v>18965363.036477141</v>
      </c>
      <c r="G70" s="142">
        <f t="shared" si="13"/>
        <v>22634621.120153859</v>
      </c>
      <c r="H70" s="142">
        <f t="shared" si="13"/>
        <v>14749467.004377576</v>
      </c>
      <c r="I70" s="142">
        <f t="shared" si="13"/>
        <v>28433712.969219077</v>
      </c>
      <c r="J70" s="142">
        <f t="shared" si="13"/>
        <v>5268919.5247999988</v>
      </c>
      <c r="K70" s="142">
        <f t="shared" si="13"/>
        <v>5273052.3611541996</v>
      </c>
      <c r="L70" s="142">
        <f t="shared" si="13"/>
        <v>6318705.7532812804</v>
      </c>
      <c r="M70" s="142">
        <f t="shared" si="13"/>
        <v>10533895.654126676</v>
      </c>
      <c r="N70" s="142">
        <f t="shared" si="13"/>
        <v>27371480.660523843</v>
      </c>
      <c r="O70" s="142">
        <f t="shared" si="13"/>
        <v>4745000.2143716216</v>
      </c>
      <c r="P70" s="142">
        <f t="shared" si="13"/>
        <v>6850437.3587142536</v>
      </c>
      <c r="Q70" s="142">
        <f t="shared" si="13"/>
        <v>40003990.245277166</v>
      </c>
      <c r="R70" s="142">
        <f t="shared" si="13"/>
        <v>9482203.4013200011</v>
      </c>
      <c r="S70" s="142">
        <f t="shared" si="13"/>
        <v>33713211.957962327</v>
      </c>
      <c r="T70" s="142">
        <f t="shared" si="13"/>
        <v>5676070.3171104006</v>
      </c>
      <c r="U70" s="142">
        <f t="shared" si="13"/>
        <v>333704131.11702949</v>
      </c>
    </row>
    <row r="71" spans="1:21" ht="15.75" x14ac:dyDescent="0.2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4"/>
    </row>
  </sheetData>
  <mergeCells count="1">
    <mergeCell ref="A3:A6"/>
  </mergeCells>
  <pageMargins left="0.25" right="0.25" top="0.75" bottom="0.75" header="0.3" footer="0.3"/>
  <pageSetup paperSize="9" scale="37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236" t="s">
        <v>71</v>
      </c>
      <c r="P1" s="236"/>
      <c r="Q1" s="236"/>
      <c r="R1" s="236"/>
      <c r="S1" s="236"/>
      <c r="T1" s="236"/>
    </row>
    <row r="4" spans="1:24" ht="72.75" customHeight="1" x14ac:dyDescent="0.25">
      <c r="A4" s="13" t="s">
        <v>2</v>
      </c>
      <c r="B4" s="14" t="s">
        <v>72</v>
      </c>
      <c r="C4" s="13" t="s">
        <v>4</v>
      </c>
      <c r="D4" s="14" t="s">
        <v>73</v>
      </c>
      <c r="E4" s="14" t="s">
        <v>74</v>
      </c>
      <c r="F4" s="15" t="s">
        <v>75</v>
      </c>
      <c r="G4" s="15" t="s">
        <v>76</v>
      </c>
      <c r="H4" s="15" t="s">
        <v>77</v>
      </c>
      <c r="I4" s="15" t="s">
        <v>78</v>
      </c>
      <c r="J4" s="15"/>
      <c r="K4" s="15" t="s">
        <v>79</v>
      </c>
      <c r="L4" s="16"/>
      <c r="M4" s="16">
        <v>2019</v>
      </c>
      <c r="N4" s="16" t="s">
        <v>80</v>
      </c>
      <c r="O4" s="16" t="s">
        <v>78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212" t="s">
        <v>81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32</v>
      </c>
      <c r="B7" s="212"/>
      <c r="C7" s="25" t="s">
        <v>60</v>
      </c>
      <c r="D7" s="212" t="s">
        <v>82</v>
      </c>
      <c r="E7" s="26" t="s">
        <v>83</v>
      </c>
      <c r="F7" s="16" t="s">
        <v>84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33</v>
      </c>
      <c r="B8" s="212"/>
      <c r="C8" s="25" t="s">
        <v>6</v>
      </c>
      <c r="D8" s="212"/>
      <c r="E8" s="26" t="s">
        <v>85</v>
      </c>
      <c r="F8" s="16" t="s">
        <v>84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34</v>
      </c>
      <c r="B9" s="212"/>
      <c r="C9" s="25" t="s">
        <v>62</v>
      </c>
      <c r="D9" s="212"/>
      <c r="E9" s="26" t="s">
        <v>86</v>
      </c>
      <c r="F9" s="16" t="s">
        <v>84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212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35</v>
      </c>
      <c r="B11" s="212"/>
      <c r="C11" s="25" t="s">
        <v>60</v>
      </c>
      <c r="D11" s="212" t="s">
        <v>87</v>
      </c>
      <c r="E11" s="212" t="s">
        <v>88</v>
      </c>
      <c r="F11" s="218" t="s">
        <v>84</v>
      </c>
      <c r="G11" s="218">
        <f>(M11+M12+M13+M14)/M10*100</f>
        <v>100</v>
      </c>
      <c r="H11" s="222">
        <v>100</v>
      </c>
      <c r="I11" s="222">
        <v>100</v>
      </c>
      <c r="J11" s="31"/>
      <c r="K11" s="222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36</v>
      </c>
      <c r="B12" s="212"/>
      <c r="C12" s="25" t="s">
        <v>6</v>
      </c>
      <c r="D12" s="212"/>
      <c r="E12" s="212"/>
      <c r="F12" s="218"/>
      <c r="G12" s="218"/>
      <c r="H12" s="237"/>
      <c r="I12" s="237"/>
      <c r="J12" s="32"/>
      <c r="K12" s="237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37</v>
      </c>
      <c r="B13" s="212"/>
      <c r="C13" s="25" t="s">
        <v>62</v>
      </c>
      <c r="D13" s="212"/>
      <c r="E13" s="212"/>
      <c r="F13" s="218"/>
      <c r="G13" s="218"/>
      <c r="H13" s="237"/>
      <c r="I13" s="237"/>
      <c r="J13" s="32"/>
      <c r="K13" s="237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38</v>
      </c>
      <c r="B14" s="212"/>
      <c r="C14" s="25" t="s">
        <v>61</v>
      </c>
      <c r="D14" s="212"/>
      <c r="E14" s="212"/>
      <c r="F14" s="218"/>
      <c r="G14" s="218"/>
      <c r="H14" s="223"/>
      <c r="I14" s="223"/>
      <c r="J14" s="33"/>
      <c r="K14" s="223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212"/>
      <c r="C15" s="21" t="s">
        <v>89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39</v>
      </c>
      <c r="B16" s="212"/>
      <c r="C16" s="25" t="s">
        <v>60</v>
      </c>
      <c r="D16" s="215" t="s">
        <v>90</v>
      </c>
      <c r="E16" s="212" t="s">
        <v>91</v>
      </c>
      <c r="F16" s="212"/>
      <c r="G16" s="231">
        <f>M15/50*100</f>
        <v>30</v>
      </c>
      <c r="H16" s="231">
        <f>N15/43*100</f>
        <v>39.534883720930232</v>
      </c>
      <c r="I16" s="231">
        <f>O15/43*100</f>
        <v>34.883720930232556</v>
      </c>
      <c r="J16" s="34"/>
      <c r="K16" s="231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212" t="s">
        <v>92</v>
      </c>
      <c r="V16" s="212"/>
      <c r="W16" s="212"/>
      <c r="X16" s="212"/>
    </row>
    <row r="17" spans="1:25" ht="27" customHeight="1" outlineLevel="3" x14ac:dyDescent="0.25">
      <c r="A17" s="24" t="s">
        <v>40</v>
      </c>
      <c r="B17" s="212"/>
      <c r="C17" s="25" t="s">
        <v>6</v>
      </c>
      <c r="D17" s="216"/>
      <c r="E17" s="212"/>
      <c r="F17" s="218"/>
      <c r="G17" s="232"/>
      <c r="H17" s="232"/>
      <c r="I17" s="232"/>
      <c r="J17" s="35"/>
      <c r="K17" s="232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212"/>
      <c r="V17" s="212"/>
      <c r="W17" s="212"/>
      <c r="X17" s="212"/>
    </row>
    <row r="18" spans="1:25" ht="40.5" customHeight="1" outlineLevel="3" x14ac:dyDescent="0.25">
      <c r="A18" s="24" t="s">
        <v>41</v>
      </c>
      <c r="B18" s="212"/>
      <c r="C18" s="25" t="s">
        <v>62</v>
      </c>
      <c r="D18" s="216"/>
      <c r="E18" s="212"/>
      <c r="F18" s="218"/>
      <c r="G18" s="232"/>
      <c r="H18" s="232"/>
      <c r="I18" s="232"/>
      <c r="J18" s="35"/>
      <c r="K18" s="232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212"/>
      <c r="V18" s="212"/>
      <c r="W18" s="212"/>
      <c r="X18" s="212"/>
    </row>
    <row r="19" spans="1:25" ht="27.75" customHeight="1" outlineLevel="3" x14ac:dyDescent="0.25">
      <c r="A19" s="24" t="s">
        <v>42</v>
      </c>
      <c r="B19" s="212"/>
      <c r="C19" s="36" t="s">
        <v>61</v>
      </c>
      <c r="D19" s="216"/>
      <c r="E19" s="212"/>
      <c r="F19" s="218"/>
      <c r="G19" s="233"/>
      <c r="H19" s="233"/>
      <c r="I19" s="233"/>
      <c r="J19" s="37"/>
      <c r="K19" s="233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212"/>
      <c r="V19" s="212"/>
      <c r="W19" s="212"/>
      <c r="X19" s="212"/>
    </row>
    <row r="20" spans="1:25" ht="147.75" customHeight="1" outlineLevel="3" x14ac:dyDescent="0.25">
      <c r="A20" s="24"/>
      <c r="B20" s="212"/>
      <c r="C20" s="38"/>
      <c r="D20" s="217"/>
      <c r="E20" s="39" t="s">
        <v>93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234" t="s">
        <v>94</v>
      </c>
      <c r="V20" s="235"/>
      <c r="W20" s="235"/>
      <c r="X20" s="235"/>
    </row>
    <row r="21" spans="1:25" ht="22.5" customHeight="1" outlineLevel="3" x14ac:dyDescent="0.25">
      <c r="A21" s="24" t="s">
        <v>39</v>
      </c>
      <c r="B21" s="212"/>
      <c r="C21" s="25" t="s">
        <v>60</v>
      </c>
      <c r="D21" s="40"/>
      <c r="E21" s="212" t="s">
        <v>91</v>
      </c>
      <c r="F21" s="212"/>
      <c r="G21" s="231">
        <f>M20/50*100</f>
        <v>2</v>
      </c>
      <c r="H21" s="231">
        <f>N20/43*100</f>
        <v>2.3255813953488373</v>
      </c>
      <c r="I21" s="34"/>
      <c r="J21" s="34"/>
      <c r="K21" s="231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212" t="s">
        <v>92</v>
      </c>
      <c r="V21" s="212"/>
      <c r="W21" s="212"/>
      <c r="X21" s="212"/>
    </row>
    <row r="22" spans="1:25" ht="27" customHeight="1" outlineLevel="3" x14ac:dyDescent="0.25">
      <c r="A22" s="24" t="s">
        <v>40</v>
      </c>
      <c r="B22" s="212"/>
      <c r="C22" s="25" t="s">
        <v>6</v>
      </c>
      <c r="D22" s="40"/>
      <c r="E22" s="212"/>
      <c r="F22" s="218"/>
      <c r="G22" s="232"/>
      <c r="H22" s="232"/>
      <c r="I22" s="35"/>
      <c r="J22" s="35"/>
      <c r="K22" s="232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212"/>
      <c r="V22" s="212"/>
      <c r="W22" s="212"/>
      <c r="X22" s="212"/>
    </row>
    <row r="23" spans="1:25" ht="40.5" customHeight="1" outlineLevel="3" x14ac:dyDescent="0.25">
      <c r="A23" s="24" t="s">
        <v>41</v>
      </c>
      <c r="B23" s="212"/>
      <c r="C23" s="25" t="s">
        <v>62</v>
      </c>
      <c r="D23" s="40"/>
      <c r="E23" s="212"/>
      <c r="F23" s="218"/>
      <c r="G23" s="232"/>
      <c r="H23" s="232"/>
      <c r="I23" s="35"/>
      <c r="J23" s="35"/>
      <c r="K23" s="232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212"/>
      <c r="V23" s="212"/>
      <c r="W23" s="212"/>
      <c r="X23" s="212"/>
    </row>
    <row r="24" spans="1:25" ht="27.75" customHeight="1" outlineLevel="3" x14ac:dyDescent="0.25">
      <c r="A24" s="24" t="s">
        <v>42</v>
      </c>
      <c r="B24" s="212"/>
      <c r="C24" s="36" t="s">
        <v>61</v>
      </c>
      <c r="D24" s="40"/>
      <c r="E24" s="212"/>
      <c r="F24" s="218"/>
      <c r="G24" s="233"/>
      <c r="H24" s="233"/>
      <c r="I24" s="37"/>
      <c r="J24" s="37"/>
      <c r="K24" s="233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212"/>
      <c r="V24" s="212"/>
      <c r="W24" s="212"/>
      <c r="X24" s="212"/>
    </row>
    <row r="25" spans="1:25" s="41" customFormat="1" ht="47.25" customHeight="1" outlineLevel="2" x14ac:dyDescent="0.25">
      <c r="A25" s="18" t="s">
        <v>53</v>
      </c>
      <c r="B25" s="212"/>
      <c r="C25" s="21" t="s">
        <v>95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55</v>
      </c>
      <c r="B26" s="212"/>
      <c r="C26" s="42" t="s">
        <v>59</v>
      </c>
      <c r="D26" s="212" t="s">
        <v>96</v>
      </c>
      <c r="E26" s="230" t="s">
        <v>97</v>
      </c>
      <c r="F26" s="218" t="s">
        <v>84</v>
      </c>
      <c r="G26" s="218">
        <v>100</v>
      </c>
      <c r="H26" s="222">
        <v>100</v>
      </c>
      <c r="I26" s="31"/>
      <c r="J26" s="31"/>
      <c r="K26" s="222">
        <v>100</v>
      </c>
      <c r="L26" s="218"/>
      <c r="M26" s="218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56</v>
      </c>
      <c r="B27" s="212"/>
      <c r="C27" s="25" t="s">
        <v>54</v>
      </c>
      <c r="D27" s="212"/>
      <c r="E27" s="230"/>
      <c r="F27" s="218"/>
      <c r="G27" s="218"/>
      <c r="H27" s="223"/>
      <c r="I27" s="33"/>
      <c r="J27" s="33"/>
      <c r="K27" s="223"/>
      <c r="L27" s="218"/>
      <c r="M27" s="218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57</v>
      </c>
      <c r="B28" s="212"/>
      <c r="C28" s="25" t="s">
        <v>58</v>
      </c>
      <c r="D28" s="26" t="s">
        <v>98</v>
      </c>
      <c r="E28" s="26" t="s">
        <v>99</v>
      </c>
      <c r="F28" s="16" t="s">
        <v>100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226" t="s">
        <v>101</v>
      </c>
      <c r="V28" s="227"/>
      <c r="W28" s="227"/>
      <c r="X28" s="227"/>
    </row>
    <row r="29" spans="1:25" s="20" customFormat="1" ht="47.25" customHeight="1" outlineLevel="1" x14ac:dyDescent="0.25">
      <c r="A29" s="43">
        <v>2</v>
      </c>
      <c r="B29" s="215" t="s">
        <v>102</v>
      </c>
      <c r="C29" s="44" t="s">
        <v>31</v>
      </c>
      <c r="D29" s="215" t="s">
        <v>103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216"/>
      <c r="C30" s="46" t="s">
        <v>158</v>
      </c>
      <c r="D30" s="216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216"/>
      <c r="C31" s="46" t="s">
        <v>159</v>
      </c>
      <c r="D31" s="216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228" t="s">
        <v>165</v>
      </c>
      <c r="V31" s="229"/>
      <c r="W31" s="229"/>
      <c r="X31" s="229"/>
    </row>
    <row r="32" spans="1:25" s="45" customFormat="1" ht="60.75" thickBot="1" x14ac:dyDescent="0.3">
      <c r="B32" s="216"/>
      <c r="C32" s="46" t="s">
        <v>160</v>
      </c>
      <c r="D32" s="216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228" t="s">
        <v>163</v>
      </c>
      <c r="V32" s="229"/>
      <c r="W32" s="229"/>
      <c r="X32" s="229"/>
      <c r="Y32" s="45" t="s">
        <v>164</v>
      </c>
    </row>
    <row r="33" spans="1:27" ht="45" outlineLevel="3" x14ac:dyDescent="0.25">
      <c r="A33" s="24" t="s">
        <v>43</v>
      </c>
      <c r="B33" s="216"/>
      <c r="C33" s="25" t="s">
        <v>104</v>
      </c>
      <c r="D33" s="216"/>
      <c r="E33" s="50" t="s">
        <v>105</v>
      </c>
      <c r="F33" s="16" t="s">
        <v>106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226" t="s">
        <v>107</v>
      </c>
      <c r="V33" s="227"/>
      <c r="W33" s="227"/>
      <c r="X33" s="227"/>
    </row>
    <row r="34" spans="1:27" ht="60" outlineLevel="3" x14ac:dyDescent="0.25">
      <c r="A34" s="24" t="s">
        <v>44</v>
      </c>
      <c r="B34" s="216"/>
      <c r="C34" s="25" t="s">
        <v>16</v>
      </c>
      <c r="D34" s="216"/>
      <c r="E34" s="50" t="s">
        <v>108</v>
      </c>
      <c r="F34" s="16" t="s">
        <v>109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110</v>
      </c>
      <c r="B35" s="216"/>
      <c r="C35" s="25" t="s">
        <v>111</v>
      </c>
      <c r="D35" s="216"/>
      <c r="E35" s="215" t="s">
        <v>112</v>
      </c>
      <c r="F35" s="222" t="s">
        <v>113</v>
      </c>
      <c r="G35" s="222">
        <v>6</v>
      </c>
      <c r="H35" s="222">
        <v>1</v>
      </c>
      <c r="I35" s="31"/>
      <c r="J35" s="31"/>
      <c r="K35" s="222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224" t="s">
        <v>114</v>
      </c>
      <c r="V35" s="225"/>
      <c r="W35" s="225"/>
      <c r="X35" s="225"/>
      <c r="Y35" s="225" t="s">
        <v>168</v>
      </c>
      <c r="Z35" s="225"/>
      <c r="AA35" s="225"/>
    </row>
    <row r="36" spans="1:27" ht="60" outlineLevel="3" x14ac:dyDescent="0.25">
      <c r="A36" s="24"/>
      <c r="B36" s="217"/>
      <c r="C36" s="25" t="s">
        <v>115</v>
      </c>
      <c r="D36" s="217"/>
      <c r="E36" s="217"/>
      <c r="F36" s="223"/>
      <c r="G36" s="223"/>
      <c r="H36" s="223"/>
      <c r="I36" s="33"/>
      <c r="J36" s="33"/>
      <c r="K36" s="223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212" t="s">
        <v>116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45</v>
      </c>
      <c r="B38" s="212"/>
      <c r="C38" s="2" t="s">
        <v>7</v>
      </c>
      <c r="D38" s="26" t="s">
        <v>117</v>
      </c>
      <c r="E38" s="52" t="s">
        <v>118</v>
      </c>
      <c r="F38" s="16" t="s">
        <v>84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46</v>
      </c>
      <c r="B39" s="212"/>
      <c r="C39" s="2" t="s">
        <v>8</v>
      </c>
      <c r="D39" s="26" t="s">
        <v>119</v>
      </c>
      <c r="E39" s="52" t="s">
        <v>120</v>
      </c>
      <c r="F39" s="16" t="s">
        <v>121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212" t="s">
        <v>122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47</v>
      </c>
      <c r="B41" s="212"/>
      <c r="C41" s="219" t="s">
        <v>9</v>
      </c>
      <c r="D41" s="220" t="s">
        <v>123</v>
      </c>
      <c r="E41" s="52" t="s">
        <v>124</v>
      </c>
      <c r="F41" s="16" t="s">
        <v>125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212"/>
      <c r="C42" s="219"/>
      <c r="D42" s="220"/>
      <c r="E42" s="52" t="s">
        <v>126</v>
      </c>
      <c r="F42" s="16" t="s">
        <v>125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48</v>
      </c>
      <c r="B43" s="212"/>
      <c r="C43" s="2" t="s">
        <v>10</v>
      </c>
      <c r="D43" s="221" t="s">
        <v>127</v>
      </c>
      <c r="E43" s="52" t="s">
        <v>128</v>
      </c>
      <c r="F43" s="16" t="s">
        <v>125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49</v>
      </c>
      <c r="B44" s="212"/>
      <c r="C44" s="219" t="s">
        <v>68</v>
      </c>
      <c r="D44" s="221"/>
      <c r="E44" s="53" t="s">
        <v>129</v>
      </c>
      <c r="F44" s="16" t="s">
        <v>125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212"/>
      <c r="C45" s="219"/>
      <c r="D45" s="221"/>
      <c r="E45" s="54" t="s">
        <v>130</v>
      </c>
      <c r="F45" s="16" t="s">
        <v>125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222" t="s">
        <v>50</v>
      </c>
      <c r="B46" s="212"/>
      <c r="C46" s="219" t="s">
        <v>69</v>
      </c>
      <c r="D46" s="221"/>
      <c r="E46" s="39" t="s">
        <v>131</v>
      </c>
      <c r="F46" s="16" t="s">
        <v>132</v>
      </c>
      <c r="G46" s="16" t="s">
        <v>133</v>
      </c>
      <c r="H46" s="16" t="s">
        <v>133</v>
      </c>
      <c r="I46" s="16"/>
      <c r="J46" s="16"/>
      <c r="K46" s="16" t="s">
        <v>133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223"/>
      <c r="B47" s="212"/>
      <c r="C47" s="219"/>
      <c r="D47" s="221"/>
      <c r="E47" s="39" t="s">
        <v>134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215" t="s">
        <v>135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216"/>
      <c r="C49" s="2" t="s">
        <v>63</v>
      </c>
      <c r="D49" s="215" t="s">
        <v>136</v>
      </c>
      <c r="E49" s="212" t="s">
        <v>137</v>
      </c>
      <c r="F49" s="218" t="s">
        <v>138</v>
      </c>
      <c r="G49" s="218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216"/>
      <c r="C50" s="2" t="s">
        <v>64</v>
      </c>
      <c r="D50" s="216"/>
      <c r="E50" s="212"/>
      <c r="F50" s="218"/>
      <c r="G50" s="218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216"/>
      <c r="C51" s="2" t="s">
        <v>65</v>
      </c>
      <c r="D51" s="216"/>
      <c r="E51" s="212"/>
      <c r="F51" s="218"/>
      <c r="G51" s="218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216"/>
      <c r="C52" s="2" t="s">
        <v>66</v>
      </c>
      <c r="D52" s="216"/>
      <c r="E52" s="212"/>
      <c r="F52" s="218"/>
      <c r="G52" s="218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216"/>
      <c r="C53" s="2" t="s">
        <v>67</v>
      </c>
      <c r="D53" s="217"/>
      <c r="E53" s="212"/>
      <c r="F53" s="218"/>
      <c r="G53" s="218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216"/>
      <c r="C54" s="3" t="s">
        <v>139</v>
      </c>
      <c r="D54" s="215" t="s">
        <v>139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216"/>
      <c r="C55" s="1" t="s">
        <v>140</v>
      </c>
      <c r="D55" s="216"/>
      <c r="E55" s="39" t="s">
        <v>141</v>
      </c>
      <c r="F55" s="24" t="s">
        <v>142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217"/>
      <c r="C56" s="1" t="s">
        <v>143</v>
      </c>
      <c r="D56" s="217"/>
      <c r="E56" s="39" t="s">
        <v>144</v>
      </c>
      <c r="F56" s="24" t="s">
        <v>142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166</v>
      </c>
      <c r="V56" s="57" t="s">
        <v>167</v>
      </c>
    </row>
    <row r="57" spans="1:22" s="20" customFormat="1" ht="64.5" customHeight="1" outlineLevel="1" x14ac:dyDescent="0.25">
      <c r="A57" s="18">
        <v>6</v>
      </c>
      <c r="B57" s="212" t="s">
        <v>145</v>
      </c>
      <c r="C57" s="51" t="s">
        <v>146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213" t="s">
        <v>28</v>
      </c>
      <c r="B58" s="212"/>
      <c r="C58" s="214" t="s">
        <v>147</v>
      </c>
      <c r="D58" s="212" t="s">
        <v>148</v>
      </c>
      <c r="E58" s="39" t="s">
        <v>149</v>
      </c>
      <c r="F58" s="26" t="s">
        <v>150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213"/>
      <c r="B59" s="212"/>
      <c r="C59" s="214"/>
      <c r="D59" s="212"/>
      <c r="E59" s="39" t="s">
        <v>151</v>
      </c>
      <c r="F59" s="26" t="s">
        <v>152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29</v>
      </c>
      <c r="B60" s="212"/>
      <c r="C60" s="58" t="s">
        <v>51</v>
      </c>
      <c r="D60" s="26" t="s">
        <v>153</v>
      </c>
      <c r="E60" s="39" t="s">
        <v>154</v>
      </c>
      <c r="F60" s="26" t="s">
        <v>84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30</v>
      </c>
      <c r="B61" s="212"/>
      <c r="C61" s="58" t="s">
        <v>52</v>
      </c>
      <c r="D61" s="26" t="s">
        <v>155</v>
      </c>
      <c r="E61" s="39" t="s">
        <v>156</v>
      </c>
      <c r="F61" s="26" t="s">
        <v>157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1</vt:lpstr>
      <vt:lpstr>Приложение 2 -ТЭО</vt:lpstr>
      <vt:lpstr>ДК</vt:lpstr>
      <vt:lpstr>расчет</vt:lpstr>
      <vt:lpstr>'Приложение 2 -ТЭО'!Заголовки_для_печати</vt:lpstr>
      <vt:lpstr>расчет!Заголовки_для_печати</vt:lpstr>
      <vt:lpstr>'Приложение 1'!Область_печати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2025-03-27T06:57:50Z</dcterms:modified>
</cp:coreProperties>
</file>