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2">расчет!$4:$4</definedName>
    <definedName name="_xlnm.Print_Area" localSheetId="1">'Приложение 2 -ТЭО'!$A$1:$AJ$43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G25" i="6" l="1"/>
  <c r="G18" i="6" l="1"/>
  <c r="G14" i="6"/>
  <c r="G11" i="6"/>
  <c r="Q22" i="6" l="1"/>
  <c r="M22" i="6"/>
  <c r="M10" i="6" s="1"/>
  <c r="M9" i="6" s="1"/>
  <c r="O22" i="6"/>
  <c r="AI41" i="6" l="1"/>
  <c r="AI40" i="6"/>
  <c r="AI38" i="6" s="1"/>
  <c r="AI39" i="6"/>
  <c r="AI34" i="6"/>
  <c r="AI31" i="6"/>
  <c r="AI26" i="6"/>
  <c r="AI22" i="6"/>
  <c r="AI21" i="6"/>
  <c r="AI20" i="6"/>
  <c r="AI18" i="6" s="1"/>
  <c r="AI19" i="6"/>
  <c r="AI14" i="6"/>
  <c r="AI13" i="6"/>
  <c r="AI11" i="6" s="1"/>
  <c r="AE41" i="6"/>
  <c r="AE40" i="6"/>
  <c r="AE38" i="6" s="1"/>
  <c r="AE39" i="6"/>
  <c r="AE34" i="6"/>
  <c r="AE31" i="6"/>
  <c r="AE26" i="6"/>
  <c r="AE22" i="6"/>
  <c r="AE21" i="6"/>
  <c r="AE20" i="6"/>
  <c r="AE18" i="6" s="1"/>
  <c r="AE19" i="6"/>
  <c r="AE14" i="6"/>
  <c r="AE13" i="6"/>
  <c r="AE11" i="6" s="1"/>
  <c r="AA41" i="6"/>
  <c r="AA40" i="6"/>
  <c r="AA39" i="6"/>
  <c r="AA38" i="6"/>
  <c r="AA34" i="6"/>
  <c r="AA31" i="6"/>
  <c r="AA26" i="6"/>
  <c r="AA22" i="6"/>
  <c r="AA21" i="6"/>
  <c r="AA20" i="6"/>
  <c r="AA19" i="6"/>
  <c r="AA18" i="6"/>
  <c r="AA14" i="6"/>
  <c r="AA13" i="6"/>
  <c r="AA11" i="6" s="1"/>
  <c r="AA10" i="6" l="1"/>
  <c r="AA9" i="6" s="1"/>
  <c r="AI10" i="6"/>
  <c r="AI9" i="6" s="1"/>
  <c r="AE10" i="6"/>
  <c r="AE9" i="6" s="1"/>
  <c r="W19" i="6"/>
  <c r="W20" i="6"/>
  <c r="W21" i="6"/>
  <c r="W26" i="6" l="1"/>
  <c r="W13" i="6"/>
  <c r="S32" i="6"/>
  <c r="S20" i="6"/>
  <c r="S21" i="6"/>
  <c r="S19" i="6"/>
  <c r="O26" i="6"/>
  <c r="O32" i="6"/>
  <c r="O20" i="6"/>
  <c r="O19" i="6"/>
  <c r="S13" i="6"/>
  <c r="S12" i="6"/>
  <c r="O12" i="6"/>
  <c r="O13" i="6"/>
  <c r="W11" i="6" l="1"/>
  <c r="W14" i="6"/>
  <c r="W18" i="6"/>
  <c r="W22" i="6"/>
  <c r="S22" i="6"/>
  <c r="W31" i="6"/>
  <c r="S31" i="6"/>
  <c r="W34" i="6"/>
  <c r="S34" i="6"/>
  <c r="O34" i="6"/>
  <c r="W38" i="6"/>
  <c r="S38" i="6"/>
  <c r="O38" i="6"/>
  <c r="P22" i="6"/>
  <c r="R22" i="6"/>
  <c r="T22" i="6"/>
  <c r="V22" i="6"/>
  <c r="X22" i="6"/>
  <c r="Z22" i="6"/>
  <c r="AB22" i="6"/>
  <c r="AD22" i="6"/>
  <c r="AF22" i="6"/>
  <c r="AH22" i="6"/>
  <c r="AJ22" i="6"/>
  <c r="O21" i="6"/>
  <c r="O17" i="6"/>
  <c r="AG30" i="6"/>
  <c r="AC30" i="6"/>
  <c r="Y30" i="6"/>
  <c r="U30" i="6"/>
  <c r="Q30" i="6"/>
  <c r="M30" i="6"/>
  <c r="F30" i="6"/>
  <c r="G30" i="6"/>
  <c r="H30" i="6"/>
  <c r="AG29" i="6"/>
  <c r="AG28" i="6"/>
  <c r="AG27" i="6"/>
  <c r="AG26" i="6"/>
  <c r="AC29" i="6"/>
  <c r="AC28" i="6"/>
  <c r="AC27" i="6"/>
  <c r="AC26" i="6"/>
  <c r="Y26" i="6"/>
  <c r="Y27" i="6"/>
  <c r="Y28" i="6"/>
  <c r="Y29" i="6"/>
  <c r="U27" i="6"/>
  <c r="U28" i="6"/>
  <c r="U29" i="6"/>
  <c r="Q27" i="6"/>
  <c r="Q28" i="6"/>
  <c r="Q29" i="6"/>
  <c r="F29" i="6"/>
  <c r="G29" i="6"/>
  <c r="H29" i="6"/>
  <c r="M29" i="6"/>
  <c r="M28" i="6"/>
  <c r="H27" i="6"/>
  <c r="M27" i="6"/>
  <c r="F27" i="6"/>
  <c r="G27" i="6"/>
  <c r="U26" i="6"/>
  <c r="U22" i="6" s="1"/>
  <c r="Q26" i="6"/>
  <c r="M26" i="6"/>
  <c r="F26" i="6"/>
  <c r="G26" i="6"/>
  <c r="H26" i="6"/>
  <c r="F28" i="6"/>
  <c r="G28" i="6"/>
  <c r="H28" i="6"/>
  <c r="W41" i="6"/>
  <c r="O41" i="6"/>
  <c r="W40" i="6"/>
  <c r="S40" i="6"/>
  <c r="O40" i="6"/>
  <c r="W39" i="6"/>
  <c r="S39" i="6"/>
  <c r="O39" i="6"/>
  <c r="W10" i="6" l="1"/>
  <c r="W9" i="6" s="1"/>
  <c r="E30" i="6"/>
  <c r="E29" i="6"/>
  <c r="E27" i="6"/>
  <c r="E28" i="6"/>
  <c r="E26" i="6"/>
  <c r="K21" i="6" l="1"/>
  <c r="K17" i="6"/>
  <c r="K40" i="6"/>
  <c r="K39" i="6"/>
  <c r="K19" i="6"/>
  <c r="K12" i="6"/>
  <c r="F26" i="5" l="1"/>
  <c r="K15" i="6" l="1"/>
  <c r="K41" i="6" l="1"/>
  <c r="K32" i="6"/>
  <c r="K20" i="6"/>
  <c r="K33" i="6" l="1"/>
  <c r="K24" i="6"/>
  <c r="K23" i="6"/>
  <c r="K13" i="6"/>
  <c r="K18" i="6" l="1"/>
  <c r="K14" i="6"/>
  <c r="K11" i="6"/>
  <c r="K31" i="6"/>
  <c r="K10" i="6" l="1"/>
  <c r="K16" i="6"/>
  <c r="Y21" i="6" l="1"/>
  <c r="AC21" i="6"/>
  <c r="M43" i="6" l="1"/>
  <c r="Q43" i="6"/>
  <c r="U43" i="6"/>
  <c r="Y43" i="6"/>
  <c r="AC43" i="6"/>
  <c r="AG43" i="6"/>
  <c r="I43" i="6"/>
  <c r="H43" i="6"/>
  <c r="G43" i="6"/>
  <c r="F43" i="6"/>
  <c r="H42" i="6"/>
  <c r="G42" i="6"/>
  <c r="F42" i="6"/>
  <c r="H41" i="6"/>
  <c r="G41" i="6"/>
  <c r="F41" i="6"/>
  <c r="H40" i="6"/>
  <c r="G40" i="6"/>
  <c r="F40" i="6"/>
  <c r="H39" i="6"/>
  <c r="G39" i="6"/>
  <c r="F39" i="6"/>
  <c r="H37" i="6"/>
  <c r="G37" i="6"/>
  <c r="F37" i="6"/>
  <c r="H36" i="6"/>
  <c r="G36" i="6"/>
  <c r="F36" i="6"/>
  <c r="H35" i="6"/>
  <c r="F35" i="6"/>
  <c r="H33" i="6"/>
  <c r="G33" i="6"/>
  <c r="F33" i="6"/>
  <c r="H32" i="6"/>
  <c r="F32" i="6"/>
  <c r="H25" i="6"/>
  <c r="G22" i="6"/>
  <c r="G10" i="6" s="1"/>
  <c r="F25" i="6"/>
  <c r="H24" i="6"/>
  <c r="F24" i="6"/>
  <c r="H23" i="6"/>
  <c r="F23" i="6"/>
  <c r="H21" i="6"/>
  <c r="G21" i="6"/>
  <c r="F21" i="6"/>
  <c r="H20" i="6"/>
  <c r="G20" i="6"/>
  <c r="F20" i="6"/>
  <c r="H19" i="6"/>
  <c r="G19" i="6"/>
  <c r="F19" i="6"/>
  <c r="H17" i="6"/>
  <c r="G17" i="6"/>
  <c r="F17" i="6"/>
  <c r="H16" i="6"/>
  <c r="G16" i="6"/>
  <c r="F16" i="6"/>
  <c r="H15" i="6"/>
  <c r="G15" i="6"/>
  <c r="F15" i="6"/>
  <c r="H13" i="6"/>
  <c r="F13" i="6"/>
  <c r="H12" i="6"/>
  <c r="F12" i="6"/>
  <c r="E16" i="6" l="1"/>
  <c r="E17" i="6"/>
  <c r="E21" i="6"/>
  <c r="E19" i="6"/>
  <c r="E20" i="6"/>
  <c r="E25" i="6"/>
  <c r="E22" i="6" s="1"/>
  <c r="E43" i="6"/>
  <c r="E15" i="6"/>
  <c r="F11" i="6"/>
  <c r="E14" i="6" l="1"/>
  <c r="AG42" i="6"/>
  <c r="AG41" i="6"/>
  <c r="AG40" i="6"/>
  <c r="AG39" i="6"/>
  <c r="AJ38" i="6"/>
  <c r="AH38" i="6"/>
  <c r="AG37" i="6"/>
  <c r="AG36" i="6"/>
  <c r="AG35" i="6"/>
  <c r="AJ34" i="6"/>
  <c r="AH34" i="6"/>
  <c r="AG33" i="6"/>
  <c r="AG32" i="6"/>
  <c r="AJ31" i="6"/>
  <c r="AH31" i="6"/>
  <c r="AG25" i="6"/>
  <c r="AG24" i="6"/>
  <c r="AG23" i="6"/>
  <c r="AG21" i="6"/>
  <c r="AG20" i="6"/>
  <c r="AG19" i="6"/>
  <c r="AJ18" i="6"/>
  <c r="AH18" i="6"/>
  <c r="AG17" i="6"/>
  <c r="AG16" i="6"/>
  <c r="AG15" i="6"/>
  <c r="AJ14" i="6"/>
  <c r="AH14" i="6"/>
  <c r="AG13" i="6"/>
  <c r="AG12" i="6"/>
  <c r="AJ11" i="6"/>
  <c r="AH11" i="6"/>
  <c r="AD38" i="6"/>
  <c r="AC42" i="6"/>
  <c r="AC41" i="6"/>
  <c r="AC40" i="6"/>
  <c r="AC39" i="6"/>
  <c r="AF38" i="6"/>
  <c r="AC37" i="6"/>
  <c r="AC36" i="6"/>
  <c r="AC35" i="6"/>
  <c r="AF34" i="6"/>
  <c r="AD34" i="6"/>
  <c r="AC33" i="6"/>
  <c r="AC32" i="6"/>
  <c r="AF31" i="6"/>
  <c r="AD31" i="6"/>
  <c r="AC25" i="6"/>
  <c r="AC24" i="6"/>
  <c r="AC23" i="6"/>
  <c r="AC20" i="6"/>
  <c r="AC19" i="6"/>
  <c r="AF18" i="6"/>
  <c r="AD18" i="6"/>
  <c r="AC17" i="6"/>
  <c r="AC16" i="6"/>
  <c r="AC15" i="6"/>
  <c r="AF14" i="6"/>
  <c r="AD14" i="6"/>
  <c r="AC13" i="6"/>
  <c r="AC12" i="6"/>
  <c r="AF11" i="6"/>
  <c r="AD11" i="6"/>
  <c r="Z38" i="6"/>
  <c r="Y42" i="6"/>
  <c r="Y41" i="6"/>
  <c r="Y40" i="6"/>
  <c r="Y39" i="6"/>
  <c r="AB38" i="6"/>
  <c r="Y37" i="6"/>
  <c r="Y36" i="6"/>
  <c r="Y35" i="6"/>
  <c r="AB34" i="6"/>
  <c r="Z34" i="6"/>
  <c r="Y33" i="6"/>
  <c r="Y32" i="6"/>
  <c r="AB31" i="6"/>
  <c r="Z31" i="6"/>
  <c r="Y25" i="6"/>
  <c r="Y24" i="6"/>
  <c r="Y23" i="6"/>
  <c r="Y20" i="6"/>
  <c r="Y19" i="6"/>
  <c r="AB18" i="6"/>
  <c r="Z18" i="6"/>
  <c r="Y17" i="6"/>
  <c r="Y16" i="6"/>
  <c r="Y15" i="6"/>
  <c r="AB14" i="6"/>
  <c r="Z14" i="6"/>
  <c r="Y13" i="6"/>
  <c r="Y12" i="6"/>
  <c r="AB11" i="6"/>
  <c r="Z11" i="6"/>
  <c r="V38" i="6"/>
  <c r="U42" i="6"/>
  <c r="U41" i="6"/>
  <c r="U40" i="6"/>
  <c r="U39" i="6"/>
  <c r="X38" i="6"/>
  <c r="U37" i="6"/>
  <c r="U36" i="6"/>
  <c r="U35" i="6"/>
  <c r="X34" i="6"/>
  <c r="V34" i="6"/>
  <c r="U33" i="6"/>
  <c r="U32" i="6"/>
  <c r="X31" i="6"/>
  <c r="V31" i="6"/>
  <c r="U25" i="6"/>
  <c r="U24" i="6"/>
  <c r="U23" i="6"/>
  <c r="U21" i="6"/>
  <c r="U20" i="6"/>
  <c r="U19" i="6"/>
  <c r="X18" i="6"/>
  <c r="V18" i="6"/>
  <c r="U17" i="6"/>
  <c r="U16" i="6"/>
  <c r="U15" i="6"/>
  <c r="X14" i="6"/>
  <c r="V14" i="6"/>
  <c r="U13" i="6"/>
  <c r="U12" i="6"/>
  <c r="X11" i="6"/>
  <c r="V11" i="6"/>
  <c r="R38" i="6"/>
  <c r="Q42" i="6"/>
  <c r="Q41" i="6"/>
  <c r="Q40" i="6"/>
  <c r="Q39" i="6"/>
  <c r="T38" i="6"/>
  <c r="Q37" i="6"/>
  <c r="Q36" i="6"/>
  <c r="Q35" i="6"/>
  <c r="T34" i="6"/>
  <c r="R34" i="6"/>
  <c r="Q33" i="6"/>
  <c r="Q32" i="6"/>
  <c r="T31" i="6"/>
  <c r="R31" i="6"/>
  <c r="Q25" i="6"/>
  <c r="Q24" i="6"/>
  <c r="Q23" i="6"/>
  <c r="Q21" i="6"/>
  <c r="Q20" i="6"/>
  <c r="Q19" i="6"/>
  <c r="T18" i="6"/>
  <c r="S18" i="6"/>
  <c r="R18" i="6"/>
  <c r="Q17" i="6"/>
  <c r="Q16" i="6"/>
  <c r="Q15" i="6"/>
  <c r="T14" i="6"/>
  <c r="S14" i="6"/>
  <c r="R14" i="6"/>
  <c r="Q13" i="6"/>
  <c r="Q12" i="6"/>
  <c r="T11" i="6"/>
  <c r="R11" i="6"/>
  <c r="Y22" i="6" l="1"/>
  <c r="AG22" i="6"/>
  <c r="AC22" i="6"/>
  <c r="Q18" i="6"/>
  <c r="X10" i="6"/>
  <c r="AJ10" i="6"/>
  <c r="AB10" i="6"/>
  <c r="AC11" i="6"/>
  <c r="Q31" i="6"/>
  <c r="Q34" i="6"/>
  <c r="U34" i="6"/>
  <c r="AG34" i="6"/>
  <c r="Q14" i="6"/>
  <c r="V10" i="6"/>
  <c r="V9" i="6" s="1"/>
  <c r="Y38" i="6"/>
  <c r="AF10" i="6"/>
  <c r="AC18" i="6"/>
  <c r="AC38" i="6"/>
  <c r="AG38" i="6"/>
  <c r="U18" i="6"/>
  <c r="U38" i="6"/>
  <c r="Y31" i="6"/>
  <c r="Y34" i="6"/>
  <c r="AD10" i="6"/>
  <c r="AD9" i="6" s="1"/>
  <c r="AG18" i="6"/>
  <c r="AG31" i="6"/>
  <c r="T10" i="6"/>
  <c r="Q38" i="6"/>
  <c r="U31" i="6"/>
  <c r="Z10" i="6"/>
  <c r="Z9" i="6" s="1"/>
  <c r="Y18" i="6"/>
  <c r="AC14" i="6"/>
  <c r="Q11" i="6"/>
  <c r="R10" i="6"/>
  <c r="R9" i="6" s="1"/>
  <c r="U11" i="6"/>
  <c r="U14" i="6"/>
  <c r="AC34" i="6"/>
  <c r="S11" i="6"/>
  <c r="AG11" i="6"/>
  <c r="AG14" i="6"/>
  <c r="Y11" i="6"/>
  <c r="Y14" i="6"/>
  <c r="AC31" i="6"/>
  <c r="AH10" i="6"/>
  <c r="AH9" i="6" s="1"/>
  <c r="G24" i="6"/>
  <c r="G12" i="6"/>
  <c r="G32" i="6" l="1"/>
  <c r="G13" i="6"/>
  <c r="E13" i="6" s="1"/>
  <c r="G23" i="6"/>
  <c r="E23" i="6" s="1"/>
  <c r="AJ9" i="6"/>
  <c r="AJ48" i="6" s="1"/>
  <c r="T9" i="6"/>
  <c r="T48" i="6" s="1"/>
  <c r="E12" i="6"/>
  <c r="E24" i="6"/>
  <c r="AF9" i="6"/>
  <c r="AF48" i="6" s="1"/>
  <c r="AB9" i="6"/>
  <c r="AB48" i="6" s="1"/>
  <c r="X9" i="6"/>
  <c r="X48" i="6" s="1"/>
  <c r="AC10" i="6"/>
  <c r="AC9" i="6" s="1"/>
  <c r="U10" i="6"/>
  <c r="U9" i="6" s="1"/>
  <c r="Q10" i="6"/>
  <c r="Q9" i="6" s="1"/>
  <c r="Y10" i="6"/>
  <c r="Y9" i="6" s="1"/>
  <c r="AG10" i="6"/>
  <c r="AG9" i="6" s="1"/>
  <c r="S10" i="6"/>
  <c r="S9" i="6" s="1"/>
  <c r="E11" i="6" l="1"/>
  <c r="G35" i="6"/>
  <c r="M13" i="6" l="1"/>
  <c r="I13" i="6"/>
  <c r="M12" i="6"/>
  <c r="I12" i="6"/>
  <c r="M17" i="6"/>
  <c r="I17" i="6"/>
  <c r="M16" i="6"/>
  <c r="I16" i="6"/>
  <c r="M15" i="6"/>
  <c r="I15" i="6"/>
  <c r="M21" i="6"/>
  <c r="I21" i="6"/>
  <c r="M20" i="6"/>
  <c r="I20" i="6"/>
  <c r="M19" i="6"/>
  <c r="I19" i="6"/>
  <c r="M25" i="6"/>
  <c r="I25" i="6"/>
  <c r="M24" i="6"/>
  <c r="I24" i="6"/>
  <c r="M23" i="6"/>
  <c r="I23" i="6"/>
  <c r="M33" i="6" l="1"/>
  <c r="I33" i="6"/>
  <c r="M32" i="6"/>
  <c r="I32" i="6"/>
  <c r="M37" i="6"/>
  <c r="I37" i="6"/>
  <c r="M36" i="6"/>
  <c r="I36" i="6"/>
  <c r="M35" i="6"/>
  <c r="I35" i="6"/>
  <c r="M42" i="6"/>
  <c r="I42" i="6"/>
  <c r="M41" i="6"/>
  <c r="I41" i="6"/>
  <c r="M40" i="6"/>
  <c r="I40" i="6"/>
  <c r="M39" i="6"/>
  <c r="I39" i="6"/>
  <c r="J34" i="6" l="1"/>
  <c r="K34" i="6"/>
  <c r="L34" i="6"/>
  <c r="N34" i="6"/>
  <c r="N38" i="6" l="1"/>
  <c r="P38" i="6"/>
  <c r="P34" i="6"/>
  <c r="P31" i="6"/>
  <c r="O31" i="6"/>
  <c r="N31" i="6"/>
  <c r="N22" i="6"/>
  <c r="P18" i="6"/>
  <c r="O18" i="6"/>
  <c r="N18" i="6"/>
  <c r="P14" i="6"/>
  <c r="O14" i="6"/>
  <c r="N14" i="6"/>
  <c r="P11" i="6"/>
  <c r="O11" i="6"/>
  <c r="N11" i="6"/>
  <c r="J38" i="6"/>
  <c r="L38" i="6"/>
  <c r="L31" i="6"/>
  <c r="J31" i="6"/>
  <c r="L22" i="6"/>
  <c r="J22" i="6"/>
  <c r="L18" i="6"/>
  <c r="J18" i="6"/>
  <c r="L14" i="6"/>
  <c r="J14" i="6"/>
  <c r="L11" i="6"/>
  <c r="J11" i="6"/>
  <c r="I11" i="6" l="1"/>
  <c r="M34" i="6"/>
  <c r="I34" i="6"/>
  <c r="J10" i="6"/>
  <c r="J9" i="6" s="1"/>
  <c r="I38" i="6"/>
  <c r="M38" i="6"/>
  <c r="O10" i="6"/>
  <c r="O9" i="6" s="1"/>
  <c r="M11" i="6"/>
  <c r="M14" i="6"/>
  <c r="I14" i="6"/>
  <c r="I31" i="6"/>
  <c r="M31" i="6"/>
  <c r="I18" i="6"/>
  <c r="N10" i="6"/>
  <c r="N9" i="6" s="1"/>
  <c r="M18" i="6"/>
  <c r="K38" i="6"/>
  <c r="L10" i="6"/>
  <c r="I22" i="6"/>
  <c r="P10" i="6"/>
  <c r="K22" i="6"/>
  <c r="K9" i="6" l="1"/>
  <c r="P9" i="6"/>
  <c r="P48" i="6" s="1"/>
  <c r="L9" i="6"/>
  <c r="L48" i="6" s="1"/>
  <c r="I10" i="6"/>
  <c r="I9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F34" i="6" l="1"/>
  <c r="H34" i="6"/>
  <c r="E35" i="6"/>
  <c r="E36" i="6"/>
  <c r="G38" i="6"/>
  <c r="E32" i="6"/>
  <c r="F31" i="6"/>
  <c r="H11" i="6"/>
  <c r="E40" i="6"/>
  <c r="E41" i="6"/>
  <c r="F38" i="6"/>
  <c r="H22" i="6"/>
  <c r="E42" i="6"/>
  <c r="H31" i="6"/>
  <c r="E37" i="6"/>
  <c r="E33" i="6"/>
  <c r="H18" i="6"/>
  <c r="H14" i="6"/>
  <c r="F14" i="6"/>
  <c r="H38" i="6"/>
  <c r="G31" i="6"/>
  <c r="F18" i="6"/>
  <c r="E39" i="6"/>
  <c r="F22" i="6"/>
  <c r="G34" i="6" l="1"/>
  <c r="E34" i="6"/>
  <c r="E31" i="6"/>
  <c r="H10" i="6"/>
  <c r="H9" i="6" s="1"/>
  <c r="E38" i="6"/>
  <c r="E18" i="6"/>
  <c r="E10" i="6" s="1"/>
  <c r="F10" i="6"/>
  <c r="F9" i="6" s="1"/>
  <c r="G9" i="6" l="1"/>
  <c r="E9" i="6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<sst xmlns="http://schemas.openxmlformats.org/spreadsheetml/2006/main" count="431" uniqueCount="248">
  <si>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</si>
  <si>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</si>
  <si>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</si>
  <si>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</si>
  <si>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</si>
  <si>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</si>
  <si>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</si>
  <si>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</si>
  <si>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</si>
  <si>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</si>
  <si>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</si>
  <si>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</si>
  <si>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</si>
  <si>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</si>
  <si>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</si>
  <si>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</si>
  <si>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</si>
  <si>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</si>
  <si>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</si>
  <si>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</si>
  <si>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</si>
  <si>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</si>
  <si>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</si>
  <si>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</si>
  <si>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</si>
  <si>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</si>
  <si>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</si>
  <si>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</si>
  <si>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</si>
  <si>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</si>
  <si>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</si>
  <si>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</si>
  <si>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</si>
  <si>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</si>
  <si>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</si>
  <si>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</si>
  <si>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</si>
  <si>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</si>
  <si>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</si>
  <si>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</si>
  <si>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</si>
  <si>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</si>
  <si>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</si>
  <si>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</si>
  <si>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</si>
  <si>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</si>
  <si>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</si>
  <si>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</si>
  <si>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</si>
  <si>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</si>
  <si>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</si>
  <si>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</si>
  <si>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</si>
  <si>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</si>
  <si>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</si>
  <si>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</si>
  <si>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</si>
  <si>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</si>
  <si>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</si>
  <si>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</si>
  <si>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</si>
  <si>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</si>
  <si>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</si>
  <si>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</si>
  <si>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</si>
  <si>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</si>
  <si>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</si>
  <si>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</si>
  <si>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</si>
  <si>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</si>
  <si>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</si>
  <si>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</si>
  <si>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Организация и проведение мероприятий в рамках празднования Дня Заполярного района и Дня герба и флага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</si>
  <si>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</si>
  <si>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</si>
  <si>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</si>
  <si>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</si>
  <si>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</si>
  <si>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</si>
  <si>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</si>
  <si>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</si>
  <si>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</si>
  <si>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</si>
  <si>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</si>
  <si>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</si>
  <si>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</si>
  <si>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</si>
  <si>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</si>
  <si>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</si>
  <si>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</si>
  <si>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</si>
  <si>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</si>
  <si>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</si>
  <si>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</si>
  <si>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</si>
  <si>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</si>
  <si>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</si>
  <si>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</si>
  <si>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</si>
  <si>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</si>
  <si>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</si>
  <si>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</si>
  <si>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</si>
  <si>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</si>
  <si>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</si>
  <si>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</si>
  <si>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</si>
  <si>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</si>
  <si>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</si>
  <si>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</si>
  <si>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</si>
  <si>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</si>
  <si>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</si>
  <si>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</si>
  <si>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</si>
  <si>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</si>
  <si>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</si>
  <si>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</si>
  <si>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</si>
  <si>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</si>
  <si>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</si>
  <si>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</si>
  <si>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</si>
  <si>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</si>
  <si>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</si>
  <si>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</si>
  <si>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</si>
  <si>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</si>
  <si>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</si>
  <si>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</si>
  <si>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</si>
  <si>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</si>
  <si>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</si>
  <si>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</si>
  <si>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</si>
  <si>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</si>
  <si>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</si>
  <si>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</si>
  <si>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</si>
  <si>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</si>
  <si>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</si>
  <si>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</si>
  <si>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</si>
  <si>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</si>
  <si>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</si>
  <si>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</si>
  <si>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</si>
  <si>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</si>
  <si>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</si>
  <si>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</si>
  <si>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</si>
  <si>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</si>
  <si>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</si>
  <si>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</si>
  <si>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</si>
  <si>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</si>
  <si>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</si>
  <si>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</si>
  <si>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</si>
  <si>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</si>
  <si>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</si>
  <si>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Обеспечение деятельности органов местного самоуправления муниципального района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</si>
  <si>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</si>
  <si>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</si>
  <si>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</si>
  <si>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</si>
  <si>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</si>
  <si>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</si>
  <si>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Финансовое обеспечение деятельности МКУ ЗР «Северное»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</si>
  <si>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</si>
  <si>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</si>
  <si>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</si>
  <si>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Шт.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</si>
  <si>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</si>
  <si>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Чел.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</si>
  <si>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</si>
  <si>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</si>
  <si>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</si>
  <si>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</si>
  <si>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</si>
  <si>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</si>
  <si>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</si>
  <si>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</si>
  <si>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</si>
  <si>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</si>
  <si>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</si>
  <si>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2025 год</t>
  </si>
  <si>
    <t>2024 год</t>
  </si>
  <si>
    <t>4.5.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</si>
  <si>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</si>
  <si>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</si>
  <si>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кв. см</t>
  </si>
  <si>
    <t>Всего на 2024-2030 годы</t>
  </si>
  <si>
    <t>Перечень целевых показателей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</si>
  <si>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1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</si>
  <si>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2026 год</t>
  </si>
  <si>
    <t>2027 год</t>
  </si>
  <si>
    <t>2028 год</t>
  </si>
  <si>
    <t>2029 год</t>
  </si>
  <si>
    <t>2030 год</t>
  </si>
  <si>
    <t>ИТОГО:</t>
  </si>
  <si>
    <t>Перечень мероприятий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</si>
  <si>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2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</si>
  <si>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Подраздел 1. Осуществление функций органов местного самоуправления</t>
  </si>
  <si>
    <t>Подраздел 4.  Расходы на исполнение публичных обязательств и иных выплат</t>
  </si>
  <si>
    <t>Раздел 3. Обеспечение информационной открытости органов местного самоуправления Заполярного района</t>
  </si>
  <si>
    <t>3.3.</t>
  </si>
  <si>
    <t>Раздел 4. Организация и проведение официальных мероприятий муниципального района "Заполярный район"</t>
  </si>
  <si>
    <t xml:space="preserve">Организация проведения ежегодной диспансеризации муниципальных служащих </t>
  </si>
  <si>
    <t>Раздел 2. Материально-техническое и транспортное обеспечение деятельности органов местного самоуправления Заполярного района и муниципальных учреждений Заполярного района</t>
  </si>
  <si>
    <t>финансовое обеспечение деятельности Администрации Заполярного района</t>
  </si>
  <si>
    <t>доля муниципальных служащих, прошедших ежегодную диспансеризацию от общего количества муниципальных служащих</t>
  </si>
  <si>
    <t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</si>
  <si>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</si>
  <si>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</si>
  <si>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</si>
  <si>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 xml:space="preserve">финансовое обеспечение деятельности МКУ ЗР «Северное» </t>
  </si>
  <si>
    <t>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</si>
  <si>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</si>
  <si>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количество выпусков общественно-политической газеты Заполярного района «Заполярный вестник+»</t>
  </si>
  <si>
    <t>количество награжденных (поощренных)</t>
  </si>
  <si>
    <t>финансовое обеспечение деятельности УМИ Администрации Заполярного района</t>
  </si>
  <si>
    <t>Подраздел 3.  Организация и получение дополнительного профессионального образования и других образовательных услуг муниципальными служащими и работниками, замещающими должности, не относящиеся к должностям муниципальной службы</t>
  </si>
  <si>
    <t>Раздел 1. Реализация функций муниципального управления</t>
  </si>
  <si>
    <t>-</t>
  </si>
  <si>
    <t>Подраздел 2.  Диспансеризация муниципальных служащих</t>
  </si>
  <si>
    <t>1.4.4.</t>
  </si>
  <si>
    <t>1.4.5.</t>
  </si>
  <si>
    <t>Выплаты гражданам, которым присвоено звание "Почетный гражданин Заполярного района"</t>
  </si>
  <si>
    <t>Единовременное денежное вознаграждение гражданам, награжденным знаком отличия "За достойное воспитание детей"</t>
  </si>
  <si>
    <t>Единовременное денежное вознаграждение гражданам, награжденным медалью "За заслуги перед Заполярным районом"</t>
  </si>
  <si>
    <t>Единовременное денежное вознаграждение гражданам, награжденным знаком отличия "Отцовская слава"</t>
  </si>
  <si>
    <t>1.4.6.</t>
  </si>
  <si>
    <t>1.4.7.</t>
  </si>
  <si>
    <t>1.4.8.</t>
  </si>
  <si>
    <t>Единовременная выплата гражданам, которым присвоено звание "Ветеран Заполярного района"</t>
  </si>
  <si>
    <t xml:space="preserve">количество оказанных транспортных услуг органам местного самоуправления муниципального района в населенные пункты Заполярного района
</t>
  </si>
  <si>
    <t>обеспечение дополнительных мер социальной поддержки граждан, которым присвоено звание «Ветеран Заполярного района»</t>
  </si>
  <si>
    <t>обеспечение дополнительных мер социальной поддержки граждан, награжденным знаком отличия «Отцовская слава»</t>
  </si>
  <si>
    <t>обеспечение дополнительных мер социальной поддержки граждан, награжденным знаком отличия «За достойное воспитание детей»</t>
  </si>
  <si>
    <t>обеспечение дополнительных мер социальной поддержки граждан, награжденным медалью «За заслуги перед Заполярным районом»</t>
  </si>
  <si>
    <t>обеспечение дополнительных мер социальной поддержки граждан, которым присвоено звание «Почетный гражданин Заполярного района»</t>
  </si>
  <si>
    <t>финансовое обеспечение дополнительных мер социальной поддержки граждан, награжденным медалью «За заслуги перед Заполярным районом»</t>
  </si>
  <si>
    <t>финансовое обеспечение дополнительных мер социальной поддержки граждан, которым присвоено звание «Почетный гражданин Заполярного района»</t>
  </si>
  <si>
    <t>финансовое обеспечение дополнительных мер социальной поддержки граждан, награжденным знаком отличия «За достойное воспитание детей»</t>
  </si>
  <si>
    <t>финансовое обеспечение дополнительных мер социальной поддержки граждан, награжденным знаком отличия «Отцовская слава»</t>
  </si>
  <si>
    <t>финансовое обеспечение дополнительных мер социальной поддержки граждан, которым присвоено звание «Ветеран Заполярного района»</t>
  </si>
  <si>
    <t>количество опубликованной информации в общественно-политической газете НАО «Няръяна Вындер»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</si>
</sst>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48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7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7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5" applyFont="1" applyFill="1" applyBorder="1" applyAlignment="1">
      <alignment vertical="center"/>
    </xf>
    <xf numFmtId="0" fontId="26" fillId="0" borderId="0" xfId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5" applyFont="1" applyFill="1" applyBorder="1" applyAlignment="1">
      <alignment vertical="center"/>
    </xf>
    <xf numFmtId="165" fontId="26" fillId="0" borderId="0" xfId="5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0" xfId="5" applyFont="1" applyFill="1" applyBorder="1" applyAlignment="1">
      <alignment vertical="center" wrapText="1"/>
    </xf>
    <xf numFmtId="165" fontId="26" fillId="0" borderId="1" xfId="5" applyNumberFormat="1" applyFont="1" applyFill="1" applyBorder="1" applyAlignment="1">
      <alignment horizontal="right" vertical="center" wrapText="1"/>
    </xf>
    <xf numFmtId="0" fontId="25" fillId="0" borderId="1" xfId="5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24" fillId="0" borderId="6" xfId="3" applyFont="1" applyFill="1" applyBorder="1" applyAlignment="1">
      <alignment horizontal="center" vertical="center" wrapText="1"/>
    </xf>
    <xf numFmtId="16" fontId="25" fillId="0" borderId="1" xfId="5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vertical="center" wrapText="1"/>
    </xf>
    <xf numFmtId="166" fontId="21" fillId="0" borderId="3" xfId="5" applyNumberFormat="1" applyFont="1" applyFill="1" applyBorder="1" applyAlignment="1">
      <alignment horizontal="center" vertical="center" wrapText="1"/>
    </xf>
    <xf numFmtId="166" fontId="21" fillId="0" borderId="4" xfId="5" applyNumberFormat="1" applyFont="1" applyFill="1" applyBorder="1" applyAlignment="1">
      <alignment horizontal="center" vertical="center" wrapText="1"/>
    </xf>
    <xf numFmtId="166" fontId="21" fillId="0" borderId="5" xfId="5" applyNumberFormat="1" applyFont="1" applyFill="1" applyBorder="1" applyAlignment="1">
      <alignment horizontal="center" vertical="center" wrapText="1"/>
    </xf>
    <xf numFmtId="0" fontId="26" fillId="0" borderId="6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13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166" fontId="21" fillId="0" borderId="7" xfId="5" applyNumberFormat="1" applyFont="1" applyFill="1" applyBorder="1" applyAlignment="1">
      <alignment horizontal="center" vertical="center" wrapText="1"/>
    </xf>
    <xf numFmtId="166" fontId="21" fillId="0" borderId="8" xfId="5" applyNumberFormat="1" applyFont="1" applyFill="1" applyBorder="1" applyAlignment="1">
      <alignment horizontal="center" vertical="center" wrapText="1"/>
    </xf>
    <xf numFmtId="166" fontId="21" fillId="0" borderId="9" xfId="5" applyNumberFormat="1" applyFont="1" applyFill="1" applyBorder="1" applyAlignment="1">
      <alignment horizontal="center" vertical="center" wrapText="1"/>
    </xf>
    <xf numFmtId="166" fontId="21" fillId="0" borderId="10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center" vertical="center" wrapText="1"/>
    </xf>
    <xf numFmtId="166" fontId="21" fillId="0" borderId="12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left" vertical="center" wrapText="1"/>
    </xf>
    <xf numFmtId="0" fontId="26" fillId="0" borderId="0" xfId="1" applyFont="1" applyFill="1" applyBorder="1" applyAlignment="1">
      <alignment horizontal="center" vertical="center" wrapText="1"/>
    </xf>
    <xf numFmtId="165" fontId="21" fillId="0" borderId="3" xfId="5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167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7"/>
  <sheetViews>
    <sheetView tabSelected="1" zoomScale="90" zoomScaleNormal="90" workbookViewId="0">
      <pane ySplit="5" topLeftCell="A6" activePane="bottomLeft" state="frozen"/>
      <selection pane="bottomLeft" sqref="A1:XFD1048576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12" width="10.28515625" style="5" bestFit="1" customWidth="1"/>
    <col min="13" max="16384" width="9.140625" style="5"/>
  </cols>
  <sheetData>
    <row r="1" spans="2:12" ht="72.75" customHeight="1" x14ac:dyDescent="0.25">
      <c r="F1" s="4"/>
      <c r="G1" s="4"/>
      <c r="H1" s="95" t="s">
        <v>194</v>
      </c>
      <c r="I1" s="95"/>
      <c r="J1" s="95"/>
      <c r="K1" s="95"/>
      <c r="L1" s="95"/>
    </row>
    <row r="2" spans="2:12" ht="31.5" customHeight="1" x14ac:dyDescent="0.25">
      <c r="B2" s="93" t="s">
        <v>193</v>
      </c>
      <c r="C2" s="93"/>
      <c r="D2" s="93"/>
      <c r="E2" s="93"/>
      <c r="F2" s="93"/>
      <c r="G2" s="93"/>
      <c r="H2" s="93"/>
      <c r="I2" s="93"/>
      <c r="J2" s="93"/>
      <c r="K2" s="93"/>
    </row>
    <row r="3" spans="2:12" ht="15.75" customHeight="1" x14ac:dyDescent="0.25"/>
    <row r="4" spans="2:12" ht="70.5" customHeight="1" x14ac:dyDescent="0.25">
      <c r="B4" s="96" t="s">
        <v>176</v>
      </c>
      <c r="C4" s="96" t="s">
        <v>175</v>
      </c>
      <c r="D4" s="96" t="s">
        <v>78</v>
      </c>
      <c r="E4" s="97" t="s">
        <v>183</v>
      </c>
      <c r="F4" s="96"/>
      <c r="G4" s="96"/>
      <c r="H4" s="96"/>
      <c r="I4" s="96"/>
      <c r="J4" s="96"/>
      <c r="K4" s="96"/>
      <c r="L4" s="96"/>
    </row>
    <row r="5" spans="2:12" x14ac:dyDescent="0.25">
      <c r="B5" s="96"/>
      <c r="C5" s="96"/>
      <c r="D5" s="96"/>
      <c r="E5" s="97"/>
      <c r="F5" s="92">
        <v>2024</v>
      </c>
      <c r="G5" s="92">
        <v>2025</v>
      </c>
      <c r="H5" s="92">
        <v>2026</v>
      </c>
      <c r="I5" s="92">
        <v>2027</v>
      </c>
      <c r="J5" s="92">
        <v>2028</v>
      </c>
      <c r="K5" s="92">
        <v>2029</v>
      </c>
      <c r="L5" s="92">
        <v>2030</v>
      </c>
    </row>
    <row r="6" spans="2:12" ht="45" x14ac:dyDescent="0.25">
      <c r="B6" s="98" t="s">
        <v>161</v>
      </c>
      <c r="C6" s="91" t="s">
        <v>210</v>
      </c>
      <c r="D6" s="90" t="s">
        <v>160</v>
      </c>
      <c r="E6" s="90">
        <v>100</v>
      </c>
      <c r="F6" s="90">
        <v>100</v>
      </c>
      <c r="G6" s="90">
        <v>100</v>
      </c>
      <c r="H6" s="90">
        <v>100</v>
      </c>
      <c r="I6" s="90">
        <v>100</v>
      </c>
      <c r="J6" s="90">
        <v>100</v>
      </c>
      <c r="K6" s="90">
        <v>100</v>
      </c>
      <c r="L6" s="90">
        <v>100</v>
      </c>
    </row>
    <row r="7" spans="2:12" ht="60" x14ac:dyDescent="0.25">
      <c r="B7" s="98"/>
      <c r="C7" s="91" t="s">
        <v>221</v>
      </c>
      <c r="D7" s="90" t="s">
        <v>160</v>
      </c>
      <c r="E7" s="90">
        <v>100</v>
      </c>
      <c r="F7" s="90">
        <v>100</v>
      </c>
      <c r="G7" s="90">
        <v>100</v>
      </c>
      <c r="H7" s="90">
        <v>100</v>
      </c>
      <c r="I7" s="90">
        <v>100</v>
      </c>
      <c r="J7" s="90">
        <v>100</v>
      </c>
      <c r="K7" s="90">
        <v>100</v>
      </c>
      <c r="L7" s="90">
        <v>100</v>
      </c>
    </row>
    <row r="8" spans="2:12" ht="105.75" customHeight="1" x14ac:dyDescent="0.25">
      <c r="B8" s="90" t="s">
        <v>208</v>
      </c>
      <c r="C8" s="91" t="s">
        <v>211</v>
      </c>
      <c r="D8" s="90" t="s">
        <v>160</v>
      </c>
      <c r="E8" s="90">
        <v>95.5</v>
      </c>
      <c r="F8" s="90">
        <v>87.7</v>
      </c>
      <c r="G8" s="90">
        <v>65.2</v>
      </c>
      <c r="H8" s="90">
        <v>65.2</v>
      </c>
      <c r="I8" s="90">
        <v>65.2</v>
      </c>
      <c r="J8" s="90">
        <v>65.2</v>
      </c>
      <c r="K8" s="90">
        <v>65.2</v>
      </c>
      <c r="L8" s="90">
        <v>65.2</v>
      </c>
    </row>
    <row r="9" spans="2:12" ht="90" x14ac:dyDescent="0.25">
      <c r="B9" s="94" t="s">
        <v>190</v>
      </c>
      <c r="C9" s="91" t="s">
        <v>212</v>
      </c>
      <c r="D9" s="90" t="s">
        <v>160</v>
      </c>
      <c r="E9" s="90">
        <v>40.9</v>
      </c>
      <c r="F9" s="90">
        <v>46.9</v>
      </c>
      <c r="G9" s="90">
        <v>19.600000000000001</v>
      </c>
      <c r="H9" s="90">
        <v>19.600000000000001</v>
      </c>
      <c r="I9" s="90">
        <v>19.600000000000001</v>
      </c>
      <c r="J9" s="90">
        <v>19.600000000000001</v>
      </c>
      <c r="K9" s="90">
        <v>19.600000000000001</v>
      </c>
      <c r="L9" s="90">
        <v>19.600000000000001</v>
      </c>
    </row>
    <row r="10" spans="2:12" ht="180" customHeight="1" x14ac:dyDescent="0.25">
      <c r="B10" s="94"/>
      <c r="C10" s="91" t="s">
        <v>213</v>
      </c>
      <c r="D10" s="90" t="s">
        <v>160</v>
      </c>
      <c r="E10" s="90">
        <v>17.899999999999999</v>
      </c>
      <c r="F10" s="90">
        <v>25</v>
      </c>
      <c r="G10" s="90">
        <v>25</v>
      </c>
      <c r="H10" s="90">
        <v>14.3</v>
      </c>
      <c r="I10" s="90">
        <v>14.3</v>
      </c>
      <c r="J10" s="90">
        <v>14.3</v>
      </c>
      <c r="K10" s="90">
        <v>14.3</v>
      </c>
      <c r="L10" s="90">
        <v>14.3</v>
      </c>
    </row>
    <row r="11" spans="2:12" ht="110.25" customHeight="1" x14ac:dyDescent="0.25">
      <c r="B11" s="91" t="s">
        <v>162</v>
      </c>
      <c r="C11" s="91" t="s">
        <v>214</v>
      </c>
      <c r="D11" s="90" t="s">
        <v>160</v>
      </c>
      <c r="E11" s="90">
        <v>100</v>
      </c>
      <c r="F11" s="90">
        <v>100</v>
      </c>
      <c r="G11" s="90">
        <v>100</v>
      </c>
      <c r="H11" s="90">
        <v>100</v>
      </c>
      <c r="I11" s="90">
        <v>100</v>
      </c>
      <c r="J11" s="90">
        <v>100</v>
      </c>
      <c r="K11" s="90">
        <v>100</v>
      </c>
      <c r="L11" s="90">
        <v>100</v>
      </c>
    </row>
    <row r="12" spans="2:12" ht="120" x14ac:dyDescent="0.25">
      <c r="B12" s="91" t="s">
        <v>163</v>
      </c>
      <c r="C12" s="91" t="s">
        <v>215</v>
      </c>
      <c r="D12" s="90" t="s">
        <v>160</v>
      </c>
      <c r="E12" s="90">
        <v>0</v>
      </c>
      <c r="F12" s="90">
        <v>100</v>
      </c>
      <c r="G12" s="90">
        <v>100</v>
      </c>
      <c r="H12" s="90">
        <v>100</v>
      </c>
      <c r="I12" s="90" t="s">
        <v>224</v>
      </c>
      <c r="J12" s="90" t="s">
        <v>224</v>
      </c>
      <c r="K12" s="90" t="s">
        <v>224</v>
      </c>
      <c r="L12" s="90" t="s">
        <v>224</v>
      </c>
    </row>
    <row r="13" spans="2:12" ht="105" x14ac:dyDescent="0.25">
      <c r="B13" s="91" t="s">
        <v>241</v>
      </c>
      <c r="C13" s="91" t="s">
        <v>243</v>
      </c>
      <c r="D13" s="90" t="s">
        <v>160</v>
      </c>
      <c r="E13" s="90">
        <v>100</v>
      </c>
      <c r="F13" s="90" t="s">
        <v>224</v>
      </c>
      <c r="G13" s="90">
        <v>100</v>
      </c>
      <c r="H13" s="90">
        <v>100</v>
      </c>
      <c r="I13" s="90">
        <v>100</v>
      </c>
      <c r="J13" s="90">
        <v>100</v>
      </c>
      <c r="K13" s="90">
        <v>100</v>
      </c>
      <c r="L13" s="90">
        <v>100</v>
      </c>
    </row>
    <row r="14" spans="2:12" ht="90" x14ac:dyDescent="0.25">
      <c r="B14" s="91" t="s">
        <v>240</v>
      </c>
      <c r="C14" s="91" t="s">
        <v>242</v>
      </c>
      <c r="D14" s="90" t="s">
        <v>160</v>
      </c>
      <c r="E14" s="90">
        <v>100</v>
      </c>
      <c r="F14" s="90" t="s">
        <v>224</v>
      </c>
      <c r="G14" s="90">
        <v>100</v>
      </c>
      <c r="H14" s="90">
        <v>100</v>
      </c>
      <c r="I14" s="90">
        <v>100</v>
      </c>
      <c r="J14" s="90">
        <v>100</v>
      </c>
      <c r="K14" s="90">
        <v>100</v>
      </c>
      <c r="L14" s="90">
        <v>100</v>
      </c>
    </row>
    <row r="15" spans="2:12" ht="80.25" customHeight="1" x14ac:dyDescent="0.25">
      <c r="B15" s="91" t="s">
        <v>239</v>
      </c>
      <c r="C15" s="91" t="s">
        <v>244</v>
      </c>
      <c r="D15" s="90" t="s">
        <v>160</v>
      </c>
      <c r="E15" s="90">
        <v>100</v>
      </c>
      <c r="F15" s="90" t="s">
        <v>224</v>
      </c>
      <c r="G15" s="90">
        <v>100</v>
      </c>
      <c r="H15" s="90">
        <v>100</v>
      </c>
      <c r="I15" s="90">
        <v>100</v>
      </c>
      <c r="J15" s="90">
        <v>100</v>
      </c>
      <c r="K15" s="90">
        <v>100</v>
      </c>
      <c r="L15" s="90">
        <v>100</v>
      </c>
    </row>
    <row r="16" spans="2:12" ht="90" x14ac:dyDescent="0.25">
      <c r="B16" s="91" t="s">
        <v>238</v>
      </c>
      <c r="C16" s="91" t="s">
        <v>245</v>
      </c>
      <c r="D16" s="90" t="s">
        <v>160</v>
      </c>
      <c r="E16" s="90">
        <v>100</v>
      </c>
      <c r="F16" s="90" t="s">
        <v>224</v>
      </c>
      <c r="G16" s="90">
        <v>100</v>
      </c>
      <c r="H16" s="90">
        <v>100</v>
      </c>
      <c r="I16" s="90">
        <v>100</v>
      </c>
      <c r="J16" s="90">
        <v>100</v>
      </c>
      <c r="K16" s="90">
        <v>100</v>
      </c>
      <c r="L16" s="90">
        <v>100</v>
      </c>
    </row>
    <row r="17" spans="2:12" ht="90" x14ac:dyDescent="0.25">
      <c r="B17" s="91" t="s">
        <v>237</v>
      </c>
      <c r="C17" s="91" t="s">
        <v>246</v>
      </c>
      <c r="D17" s="90" t="s">
        <v>160</v>
      </c>
      <c r="E17" s="90">
        <v>100</v>
      </c>
      <c r="F17" s="90" t="s">
        <v>224</v>
      </c>
      <c r="G17" s="90">
        <v>100</v>
      </c>
      <c r="H17" s="90">
        <v>100</v>
      </c>
      <c r="I17" s="90">
        <v>100</v>
      </c>
      <c r="J17" s="90">
        <v>100</v>
      </c>
      <c r="K17" s="90">
        <v>100</v>
      </c>
      <c r="L17" s="90">
        <v>100</v>
      </c>
    </row>
    <row r="18" spans="2:12" ht="63.75" customHeight="1" x14ac:dyDescent="0.25">
      <c r="B18" s="91" t="s">
        <v>168</v>
      </c>
      <c r="C18" s="91" t="s">
        <v>216</v>
      </c>
      <c r="D18" s="90" t="s">
        <v>160</v>
      </c>
      <c r="E18" s="60">
        <v>100</v>
      </c>
      <c r="F18" s="90">
        <v>100</v>
      </c>
      <c r="G18" s="90">
        <v>100</v>
      </c>
      <c r="H18" s="90">
        <v>100</v>
      </c>
      <c r="I18" s="90">
        <v>100</v>
      </c>
      <c r="J18" s="90">
        <v>100</v>
      </c>
      <c r="K18" s="90">
        <v>100</v>
      </c>
      <c r="L18" s="90">
        <v>100</v>
      </c>
    </row>
    <row r="19" spans="2:12" ht="117" customHeight="1" x14ac:dyDescent="0.25">
      <c r="B19" s="98" t="s">
        <v>169</v>
      </c>
      <c r="C19" s="99" t="s">
        <v>236</v>
      </c>
      <c r="D19" s="94" t="s">
        <v>165</v>
      </c>
      <c r="E19" s="94">
        <v>15</v>
      </c>
      <c r="F19" s="94">
        <v>16</v>
      </c>
      <c r="G19" s="94">
        <v>16</v>
      </c>
      <c r="H19" s="94">
        <v>16</v>
      </c>
      <c r="I19" s="94">
        <v>16</v>
      </c>
      <c r="J19" s="94">
        <v>16</v>
      </c>
      <c r="K19" s="94">
        <v>16</v>
      </c>
      <c r="L19" s="94">
        <v>16</v>
      </c>
    </row>
    <row r="20" spans="2:12" ht="30.75" hidden="1" customHeight="1" x14ac:dyDescent="0.25">
      <c r="B20" s="98"/>
      <c r="C20" s="99"/>
      <c r="D20" s="94"/>
      <c r="E20" s="94"/>
      <c r="F20" s="94"/>
      <c r="G20" s="94"/>
      <c r="H20" s="94"/>
      <c r="I20" s="94"/>
      <c r="J20" s="94"/>
      <c r="K20" s="94"/>
      <c r="L20" s="94"/>
    </row>
    <row r="21" spans="2:12" ht="105" x14ac:dyDescent="0.25">
      <c r="B21" s="91" t="s">
        <v>170</v>
      </c>
      <c r="C21" s="91" t="s">
        <v>217</v>
      </c>
      <c r="D21" s="90" t="s">
        <v>165</v>
      </c>
      <c r="E21" s="90">
        <v>212</v>
      </c>
      <c r="F21" s="90">
        <v>180</v>
      </c>
      <c r="G21" s="90">
        <v>180</v>
      </c>
      <c r="H21" s="90">
        <v>180</v>
      </c>
      <c r="I21" s="90">
        <v>180</v>
      </c>
      <c r="J21" s="90">
        <v>180</v>
      </c>
      <c r="K21" s="90">
        <v>180</v>
      </c>
      <c r="L21" s="90">
        <v>180</v>
      </c>
    </row>
    <row r="22" spans="2:12" ht="90.75" customHeight="1" x14ac:dyDescent="0.25">
      <c r="B22" s="94" t="s">
        <v>171</v>
      </c>
      <c r="C22" s="91" t="s">
        <v>218</v>
      </c>
      <c r="D22" s="90" t="s">
        <v>165</v>
      </c>
      <c r="E22" s="90">
        <v>93</v>
      </c>
      <c r="F22" s="90">
        <v>93</v>
      </c>
      <c r="G22" s="90">
        <v>93</v>
      </c>
      <c r="H22" s="90">
        <v>93</v>
      </c>
      <c r="I22" s="90">
        <v>93</v>
      </c>
      <c r="J22" s="90">
        <v>93</v>
      </c>
      <c r="K22" s="90">
        <v>93</v>
      </c>
      <c r="L22" s="90">
        <v>93</v>
      </c>
    </row>
    <row r="23" spans="2:12" ht="60" x14ac:dyDescent="0.25">
      <c r="B23" s="94"/>
      <c r="C23" s="91" t="s">
        <v>219</v>
      </c>
      <c r="D23" s="90" t="s">
        <v>165</v>
      </c>
      <c r="E23" s="90">
        <v>25</v>
      </c>
      <c r="F23" s="90">
        <v>25</v>
      </c>
      <c r="G23" s="90">
        <v>25</v>
      </c>
      <c r="H23" s="90">
        <v>25</v>
      </c>
      <c r="I23" s="90">
        <v>25</v>
      </c>
      <c r="J23" s="90">
        <v>25</v>
      </c>
      <c r="K23" s="90">
        <v>25</v>
      </c>
      <c r="L23" s="90">
        <v>25</v>
      </c>
    </row>
    <row r="24" spans="2:12" ht="60" x14ac:dyDescent="0.25">
      <c r="B24" s="94"/>
      <c r="C24" s="59" t="s">
        <v>247</v>
      </c>
      <c r="D24" s="90" t="s">
        <v>191</v>
      </c>
      <c r="E24" s="90">
        <v>1410</v>
      </c>
      <c r="F24" s="90">
        <v>1500</v>
      </c>
      <c r="G24" s="90">
        <v>1500</v>
      </c>
      <c r="H24" s="90">
        <v>1500</v>
      </c>
      <c r="I24" s="90">
        <v>1500</v>
      </c>
      <c r="J24" s="90">
        <v>1500</v>
      </c>
      <c r="K24" s="90">
        <v>1500</v>
      </c>
      <c r="L24" s="90">
        <v>1500</v>
      </c>
    </row>
    <row r="25" spans="2:12" ht="60" x14ac:dyDescent="0.25">
      <c r="B25" s="94"/>
      <c r="C25" s="59" t="s">
        <v>132</v>
      </c>
      <c r="D25" s="90" t="s">
        <v>172</v>
      </c>
      <c r="E25" s="90">
        <v>120</v>
      </c>
      <c r="F25" s="90">
        <v>100</v>
      </c>
      <c r="G25" s="90">
        <v>100</v>
      </c>
      <c r="H25" s="90">
        <v>100</v>
      </c>
      <c r="I25" s="90">
        <v>100</v>
      </c>
      <c r="J25" s="90">
        <v>100</v>
      </c>
      <c r="K25" s="90">
        <v>100</v>
      </c>
      <c r="L25" s="90">
        <v>100</v>
      </c>
    </row>
    <row r="26" spans="2:12" ht="30.75" customHeight="1" x14ac:dyDescent="0.25">
      <c r="B26" s="94" t="s">
        <v>173</v>
      </c>
      <c r="C26" s="61" t="s">
        <v>140</v>
      </c>
      <c r="D26" s="90" t="s">
        <v>165</v>
      </c>
      <c r="E26" s="90">
        <v>20</v>
      </c>
      <c r="F26" s="90">
        <f>10-1</f>
        <v>9</v>
      </c>
      <c r="G26" s="90">
        <v>10</v>
      </c>
      <c r="H26" s="90">
        <v>10</v>
      </c>
      <c r="I26" s="90">
        <v>10</v>
      </c>
      <c r="J26" s="90">
        <v>10</v>
      </c>
      <c r="K26" s="90">
        <v>10</v>
      </c>
      <c r="L26" s="90">
        <v>10</v>
      </c>
    </row>
    <row r="27" spans="2:12" ht="91.5" customHeight="1" x14ac:dyDescent="0.25">
      <c r="B27" s="94"/>
      <c r="C27" s="61" t="s">
        <v>220</v>
      </c>
      <c r="D27" s="90" t="s">
        <v>174</v>
      </c>
      <c r="E27" s="90">
        <v>0</v>
      </c>
      <c r="F27" s="90">
        <v>150</v>
      </c>
      <c r="G27" s="90">
        <v>250</v>
      </c>
      <c r="H27" s="90">
        <v>250</v>
      </c>
      <c r="I27" s="90">
        <v>250</v>
      </c>
      <c r="J27" s="90">
        <v>250</v>
      </c>
      <c r="K27" s="90">
        <v>250</v>
      </c>
      <c r="L27" s="90">
        <v>250</v>
      </c>
    </row>
  </sheetData>
  <mergeCells count="22">
    <mergeCell ref="E19:E20"/>
    <mergeCell ref="B22:B25"/>
    <mergeCell ref="B26:B27"/>
    <mergeCell ref="B19:B20"/>
    <mergeCell ref="C19:C20"/>
    <mergeCell ref="D19:D20"/>
    <mergeCell ref="B2:K2"/>
    <mergeCell ref="L19:L20"/>
    <mergeCell ref="H1:L1"/>
    <mergeCell ref="F4:L4"/>
    <mergeCell ref="H19:H20"/>
    <mergeCell ref="I19:I20"/>
    <mergeCell ref="J19:J20"/>
    <mergeCell ref="K19:K20"/>
    <mergeCell ref="D4:D5"/>
    <mergeCell ref="E4:E5"/>
    <mergeCell ref="C4:C5"/>
    <mergeCell ref="B4:B5"/>
    <mergeCell ref="B9:B10"/>
    <mergeCell ref="B6:B7"/>
    <mergeCell ref="F19:F20"/>
    <mergeCell ref="G19:G20"/>
  </mergeCells>
  <pageMargins left="0.70866141732283472" right="0.31496062992125984" top="0.35433070866141736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K48"/>
  <sheetViews>
    <sheetView view="pageBreakPreview" topLeftCell="A28" zoomScale="50" zoomScaleNormal="70" zoomScaleSheetLayoutView="50" workbookViewId="0">
      <selection activeCell="J35" sqref="J35"/>
    </sheetView>
  </sheetViews>
  <sheetFormatPr defaultColWidth="9.140625" defaultRowHeight="18.75" outlineLevelRow="3" x14ac:dyDescent="0.25"/>
  <cols>
    <col min="1" max="1" width="10.85546875" style="68" customWidth="1"/>
    <col min="2" max="2" width="36.85546875" style="68" customWidth="1"/>
    <col min="3" max="3" width="27.7109375" style="68" customWidth="1"/>
    <col min="4" max="4" width="26.7109375" style="68" customWidth="1"/>
    <col min="5" max="5" width="17.5703125" style="71" customWidth="1"/>
    <col min="6" max="6" width="15.42578125" style="68" customWidth="1"/>
    <col min="7" max="7" width="17.85546875" style="68" customWidth="1" collapsed="1"/>
    <col min="8" max="8" width="17.85546875" style="68" customWidth="1"/>
    <col min="9" max="9" width="15" style="71" customWidth="1"/>
    <col min="10" max="10" width="17" style="68" customWidth="1"/>
    <col min="11" max="11" width="15.42578125" style="68" customWidth="1" collapsed="1"/>
    <col min="12" max="12" width="15.7109375" style="70" customWidth="1"/>
    <col min="13" max="13" width="15" style="71" customWidth="1"/>
    <col min="14" max="14" width="16.85546875" style="68" customWidth="1"/>
    <col min="15" max="15" width="15.42578125" style="68" customWidth="1"/>
    <col min="16" max="16" width="15.7109375" style="70" customWidth="1"/>
    <col min="17" max="17" width="15" style="71" customWidth="1"/>
    <col min="18" max="18" width="16.85546875" style="68" customWidth="1"/>
    <col min="19" max="19" width="15.42578125" style="68" customWidth="1"/>
    <col min="20" max="20" width="15.7109375" style="70" customWidth="1"/>
    <col min="21" max="21" width="15" style="71" customWidth="1"/>
    <col min="22" max="22" width="16.85546875" style="68" customWidth="1"/>
    <col min="23" max="23" width="15.42578125" style="68" customWidth="1"/>
    <col min="24" max="24" width="15.7109375" style="70" customWidth="1"/>
    <col min="25" max="25" width="15" style="71" customWidth="1"/>
    <col min="26" max="26" width="16.85546875" style="68" customWidth="1"/>
    <col min="27" max="27" width="15.42578125" style="68" customWidth="1"/>
    <col min="28" max="28" width="15.7109375" style="70" customWidth="1"/>
    <col min="29" max="29" width="15" style="71" customWidth="1"/>
    <col min="30" max="30" width="16.85546875" style="68" customWidth="1"/>
    <col min="31" max="31" width="15.42578125" style="68" customWidth="1"/>
    <col min="32" max="32" width="15.7109375" style="70" customWidth="1"/>
    <col min="33" max="33" width="15" style="71" customWidth="1"/>
    <col min="34" max="34" width="16.85546875" style="68" customWidth="1"/>
    <col min="35" max="35" width="15.42578125" style="68" customWidth="1"/>
    <col min="36" max="36" width="15.7109375" style="70" customWidth="1"/>
    <col min="37" max="16384" width="9.140625" style="68"/>
  </cols>
  <sheetData>
    <row r="1" spans="1:36" s="62" customFormat="1" ht="69" customHeight="1" x14ac:dyDescent="0.25">
      <c r="B1" s="63"/>
      <c r="C1" s="64"/>
      <c r="D1" s="64"/>
      <c r="E1" s="65"/>
      <c r="F1" s="66"/>
      <c r="G1" s="66"/>
      <c r="H1" s="66"/>
      <c r="I1" s="67"/>
      <c r="J1" s="67"/>
      <c r="AF1" s="107" t="s">
        <v>202</v>
      </c>
      <c r="AG1" s="107"/>
      <c r="AH1" s="107"/>
      <c r="AI1" s="107"/>
      <c r="AJ1" s="107"/>
    </row>
    <row r="2" spans="1:36" ht="41.25" customHeight="1" x14ac:dyDescent="0.25">
      <c r="B2" s="69"/>
      <c r="C2" s="69"/>
      <c r="D2" s="69"/>
      <c r="E2" s="118" t="s">
        <v>201</v>
      </c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C2" s="68"/>
      <c r="AG2" s="68"/>
    </row>
    <row r="4" spans="1:36" ht="15.75" customHeight="1" x14ac:dyDescent="0.25">
      <c r="A4" s="108" t="s">
        <v>2</v>
      </c>
      <c r="B4" s="108" t="s">
        <v>4</v>
      </c>
      <c r="C4" s="108" t="s">
        <v>71</v>
      </c>
      <c r="D4" s="108" t="s">
        <v>0</v>
      </c>
      <c r="E4" s="111" t="s">
        <v>192</v>
      </c>
      <c r="F4" s="112"/>
      <c r="G4" s="112"/>
      <c r="H4" s="113"/>
      <c r="I4" s="117"/>
      <c r="J4" s="117"/>
      <c r="K4" s="117"/>
      <c r="L4" s="117"/>
      <c r="M4" s="117"/>
      <c r="N4" s="117"/>
      <c r="O4" s="117"/>
      <c r="P4" s="68"/>
      <c r="Q4" s="68"/>
      <c r="T4" s="68"/>
      <c r="U4" s="68"/>
      <c r="X4" s="68"/>
      <c r="Y4" s="68"/>
      <c r="AB4" s="68"/>
      <c r="AC4" s="68"/>
      <c r="AF4" s="68"/>
      <c r="AG4" s="68"/>
      <c r="AJ4" s="68"/>
    </row>
    <row r="5" spans="1:36" ht="15.75" customHeight="1" x14ac:dyDescent="0.25">
      <c r="A5" s="109"/>
      <c r="B5" s="109"/>
      <c r="C5" s="109"/>
      <c r="D5" s="109"/>
      <c r="E5" s="114"/>
      <c r="F5" s="115"/>
      <c r="G5" s="115"/>
      <c r="H5" s="116"/>
      <c r="I5" s="102" t="s">
        <v>187</v>
      </c>
      <c r="J5" s="103"/>
      <c r="K5" s="103"/>
      <c r="L5" s="104"/>
      <c r="M5" s="102" t="s">
        <v>186</v>
      </c>
      <c r="N5" s="103"/>
      <c r="O5" s="103"/>
      <c r="P5" s="104"/>
      <c r="Q5" s="102" t="s">
        <v>195</v>
      </c>
      <c r="R5" s="103"/>
      <c r="S5" s="103"/>
      <c r="T5" s="104"/>
      <c r="U5" s="102" t="s">
        <v>196</v>
      </c>
      <c r="V5" s="103"/>
      <c r="W5" s="103"/>
      <c r="X5" s="104"/>
      <c r="Y5" s="102" t="s">
        <v>197</v>
      </c>
      <c r="Z5" s="103"/>
      <c r="AA5" s="103"/>
      <c r="AB5" s="104"/>
      <c r="AC5" s="102" t="s">
        <v>198</v>
      </c>
      <c r="AD5" s="103"/>
      <c r="AE5" s="103"/>
      <c r="AF5" s="104"/>
      <c r="AG5" s="102" t="s">
        <v>199</v>
      </c>
      <c r="AH5" s="103"/>
      <c r="AI5" s="103"/>
      <c r="AJ5" s="104"/>
    </row>
    <row r="6" spans="1:36" x14ac:dyDescent="0.25">
      <c r="A6" s="109"/>
      <c r="B6" s="109"/>
      <c r="C6" s="109"/>
      <c r="D6" s="109"/>
      <c r="E6" s="105" t="s">
        <v>1</v>
      </c>
      <c r="F6" s="119" t="s">
        <v>3</v>
      </c>
      <c r="G6" s="120"/>
      <c r="H6" s="121"/>
      <c r="I6" s="105" t="s">
        <v>1</v>
      </c>
      <c r="L6" s="71"/>
      <c r="M6" s="105" t="s">
        <v>1</v>
      </c>
      <c r="P6" s="71"/>
      <c r="Q6" s="105" t="s">
        <v>1</v>
      </c>
      <c r="T6" s="71"/>
      <c r="U6" s="105" t="s">
        <v>1</v>
      </c>
      <c r="X6" s="71"/>
      <c r="Y6" s="105" t="s">
        <v>1</v>
      </c>
      <c r="AB6" s="71"/>
      <c r="AC6" s="105" t="s">
        <v>1</v>
      </c>
      <c r="AF6" s="71"/>
      <c r="AG6" s="105" t="s">
        <v>1</v>
      </c>
      <c r="AJ6" s="71"/>
    </row>
    <row r="7" spans="1:36" s="74" customFormat="1" ht="55.5" customHeight="1" x14ac:dyDescent="0.25">
      <c r="A7" s="110"/>
      <c r="B7" s="110"/>
      <c r="C7" s="110"/>
      <c r="D7" s="110"/>
      <c r="E7" s="106"/>
      <c r="F7" s="73" t="s">
        <v>26</v>
      </c>
      <c r="G7" s="73" t="s">
        <v>27</v>
      </c>
      <c r="H7" s="73" t="s">
        <v>28</v>
      </c>
      <c r="I7" s="106"/>
      <c r="J7" s="73" t="s">
        <v>26</v>
      </c>
      <c r="K7" s="73" t="s">
        <v>27</v>
      </c>
      <c r="L7" s="73" t="s">
        <v>28</v>
      </c>
      <c r="M7" s="106"/>
      <c r="N7" s="73" t="s">
        <v>26</v>
      </c>
      <c r="O7" s="73" t="s">
        <v>27</v>
      </c>
      <c r="P7" s="73" t="s">
        <v>28</v>
      </c>
      <c r="Q7" s="106"/>
      <c r="R7" s="73" t="s">
        <v>26</v>
      </c>
      <c r="S7" s="73" t="s">
        <v>27</v>
      </c>
      <c r="T7" s="73" t="s">
        <v>28</v>
      </c>
      <c r="U7" s="106"/>
      <c r="V7" s="73" t="s">
        <v>26</v>
      </c>
      <c r="W7" s="73" t="s">
        <v>27</v>
      </c>
      <c r="X7" s="73" t="s">
        <v>28</v>
      </c>
      <c r="Y7" s="106"/>
      <c r="Z7" s="73" t="s">
        <v>26</v>
      </c>
      <c r="AA7" s="73" t="s">
        <v>27</v>
      </c>
      <c r="AB7" s="73" t="s">
        <v>28</v>
      </c>
      <c r="AC7" s="106"/>
      <c r="AD7" s="73" t="s">
        <v>26</v>
      </c>
      <c r="AE7" s="73" t="s">
        <v>27</v>
      </c>
      <c r="AF7" s="73" t="s">
        <v>28</v>
      </c>
      <c r="AG7" s="106"/>
      <c r="AH7" s="73" t="s">
        <v>26</v>
      </c>
      <c r="AI7" s="73" t="s">
        <v>27</v>
      </c>
      <c r="AJ7" s="73" t="s">
        <v>28</v>
      </c>
    </row>
    <row r="8" spans="1:36" s="76" customFormat="1" x14ac:dyDescent="0.25">
      <c r="A8" s="75">
        <v>1</v>
      </c>
      <c r="B8" s="75">
        <v>2</v>
      </c>
      <c r="C8" s="75">
        <v>3</v>
      </c>
      <c r="D8" s="75">
        <v>4</v>
      </c>
      <c r="E8" s="75">
        <v>5</v>
      </c>
      <c r="F8" s="75">
        <v>6</v>
      </c>
      <c r="G8" s="75">
        <v>8</v>
      </c>
      <c r="H8" s="75">
        <v>9</v>
      </c>
      <c r="I8" s="75">
        <v>10</v>
      </c>
      <c r="J8" s="75">
        <v>11</v>
      </c>
      <c r="K8" s="75">
        <v>12</v>
      </c>
      <c r="L8" s="75">
        <v>13</v>
      </c>
      <c r="M8" s="75">
        <v>14</v>
      </c>
      <c r="N8" s="75">
        <v>15</v>
      </c>
      <c r="O8" s="75">
        <v>16</v>
      </c>
      <c r="P8" s="75">
        <v>17</v>
      </c>
      <c r="Q8" s="75">
        <v>18</v>
      </c>
      <c r="R8" s="75">
        <v>19</v>
      </c>
      <c r="S8" s="75">
        <v>20</v>
      </c>
      <c r="T8" s="75">
        <v>21</v>
      </c>
      <c r="U8" s="75">
        <v>22</v>
      </c>
      <c r="V8" s="75">
        <v>23</v>
      </c>
      <c r="W8" s="75">
        <v>24</v>
      </c>
      <c r="X8" s="75">
        <v>25</v>
      </c>
      <c r="Y8" s="75">
        <v>26</v>
      </c>
      <c r="Z8" s="75">
        <v>27</v>
      </c>
      <c r="AA8" s="75">
        <v>28</v>
      </c>
      <c r="AB8" s="75">
        <v>29</v>
      </c>
      <c r="AC8" s="75">
        <v>30</v>
      </c>
      <c r="AD8" s="75">
        <v>31</v>
      </c>
      <c r="AE8" s="75">
        <v>32</v>
      </c>
      <c r="AF8" s="75">
        <v>33</v>
      </c>
      <c r="AG8" s="75">
        <v>34</v>
      </c>
      <c r="AH8" s="75">
        <v>35</v>
      </c>
      <c r="AI8" s="75">
        <v>36</v>
      </c>
      <c r="AJ8" s="75">
        <v>37</v>
      </c>
    </row>
    <row r="9" spans="1:36" s="76" customFormat="1" ht="38.25" customHeight="1" x14ac:dyDescent="0.25">
      <c r="A9" s="75"/>
      <c r="B9" s="100" t="s">
        <v>200</v>
      </c>
      <c r="C9" s="100"/>
      <c r="D9" s="100"/>
      <c r="E9" s="77">
        <f t="shared" ref="E9:AJ9" si="0">E10+E31+E34+E38</f>
        <v>2016572</v>
      </c>
      <c r="F9" s="77">
        <f t="shared" si="0"/>
        <v>0</v>
      </c>
      <c r="G9" s="77">
        <f>G10+G31+G34+G38</f>
        <v>2016572</v>
      </c>
      <c r="H9" s="77">
        <f t="shared" si="0"/>
        <v>0</v>
      </c>
      <c r="I9" s="77">
        <f t="shared" si="0"/>
        <v>258194.09999999995</v>
      </c>
      <c r="J9" s="77">
        <f t="shared" si="0"/>
        <v>0</v>
      </c>
      <c r="K9" s="77">
        <f t="shared" si="0"/>
        <v>258194.09999999995</v>
      </c>
      <c r="L9" s="77">
        <f t="shared" si="0"/>
        <v>0</v>
      </c>
      <c r="M9" s="77">
        <f>M10+M31+M34+M38</f>
        <v>290602.69999999995</v>
      </c>
      <c r="N9" s="77">
        <f t="shared" si="0"/>
        <v>0</v>
      </c>
      <c r="O9" s="77">
        <f>O10+O31+O34+O38</f>
        <v>290602.69999999995</v>
      </c>
      <c r="P9" s="77">
        <f t="shared" si="0"/>
        <v>0</v>
      </c>
      <c r="Q9" s="77">
        <f>Q10+Q31+Q34+Q38</f>
        <v>297535.3</v>
      </c>
      <c r="R9" s="77">
        <f t="shared" si="0"/>
        <v>0</v>
      </c>
      <c r="S9" s="77">
        <f t="shared" si="0"/>
        <v>297535.3</v>
      </c>
      <c r="T9" s="77">
        <f t="shared" si="0"/>
        <v>0</v>
      </c>
      <c r="U9" s="77">
        <f t="shared" si="0"/>
        <v>293529.8</v>
      </c>
      <c r="V9" s="77">
        <f t="shared" si="0"/>
        <v>0</v>
      </c>
      <c r="W9" s="77">
        <f>W10+W31+W34+W38</f>
        <v>293529.8</v>
      </c>
      <c r="X9" s="77">
        <f t="shared" si="0"/>
        <v>0</v>
      </c>
      <c r="Y9" s="77">
        <f t="shared" si="0"/>
        <v>292236.69999999995</v>
      </c>
      <c r="Z9" s="77">
        <f t="shared" si="0"/>
        <v>0</v>
      </c>
      <c r="AA9" s="77">
        <f>AA10+AA31+AA34+AA38</f>
        <v>292236.69999999995</v>
      </c>
      <c r="AB9" s="77">
        <f t="shared" si="0"/>
        <v>0</v>
      </c>
      <c r="AC9" s="77">
        <f t="shared" si="0"/>
        <v>292236.69999999995</v>
      </c>
      <c r="AD9" s="77">
        <f t="shared" si="0"/>
        <v>0</v>
      </c>
      <c r="AE9" s="77">
        <f>AE10+AE31+AE34+AE38</f>
        <v>292236.69999999995</v>
      </c>
      <c r="AF9" s="77">
        <f t="shared" si="0"/>
        <v>0</v>
      </c>
      <c r="AG9" s="77">
        <f t="shared" si="0"/>
        <v>292236.69999999995</v>
      </c>
      <c r="AH9" s="77">
        <f t="shared" si="0"/>
        <v>0</v>
      </c>
      <c r="AI9" s="77">
        <f>AI10+AI31+AI34+AI38</f>
        <v>292236.69999999995</v>
      </c>
      <c r="AJ9" s="77">
        <f t="shared" si="0"/>
        <v>0</v>
      </c>
    </row>
    <row r="10" spans="1:36" s="76" customFormat="1" ht="47.25" customHeight="1" outlineLevel="1" x14ac:dyDescent="0.25">
      <c r="A10" s="75">
        <v>1</v>
      </c>
      <c r="B10" s="100" t="s">
        <v>223</v>
      </c>
      <c r="C10" s="100"/>
      <c r="D10" s="100"/>
      <c r="E10" s="77">
        <f t="shared" ref="E10:AJ10" si="1">E11+E14+E18+E22</f>
        <v>996879.6</v>
      </c>
      <c r="F10" s="77">
        <f t="shared" si="1"/>
        <v>0</v>
      </c>
      <c r="G10" s="77">
        <f>G11+G14+G18+G22</f>
        <v>996879.6</v>
      </c>
      <c r="H10" s="77">
        <f t="shared" si="1"/>
        <v>0</v>
      </c>
      <c r="I10" s="77">
        <f t="shared" si="1"/>
        <v>130149.39999999998</v>
      </c>
      <c r="J10" s="77">
        <f t="shared" si="1"/>
        <v>0</v>
      </c>
      <c r="K10" s="77">
        <f>K11+K14+K18+K22</f>
        <v>130149.39999999998</v>
      </c>
      <c r="L10" s="77">
        <f t="shared" si="1"/>
        <v>0</v>
      </c>
      <c r="M10" s="77">
        <f>M11+M14+M18+M22</f>
        <v>142485.4</v>
      </c>
      <c r="N10" s="77">
        <f t="shared" si="1"/>
        <v>0</v>
      </c>
      <c r="O10" s="77">
        <f t="shared" si="1"/>
        <v>142485.4</v>
      </c>
      <c r="P10" s="77">
        <f t="shared" si="1"/>
        <v>0</v>
      </c>
      <c r="Q10" s="77">
        <f t="shared" si="1"/>
        <v>145678.90000000002</v>
      </c>
      <c r="R10" s="77">
        <f t="shared" si="1"/>
        <v>0</v>
      </c>
      <c r="S10" s="77">
        <f t="shared" si="1"/>
        <v>145678.90000000002</v>
      </c>
      <c r="T10" s="77">
        <f t="shared" si="1"/>
        <v>0</v>
      </c>
      <c r="U10" s="77">
        <f t="shared" si="1"/>
        <v>145611.29999999999</v>
      </c>
      <c r="V10" s="77">
        <f t="shared" si="1"/>
        <v>0</v>
      </c>
      <c r="W10" s="77">
        <f>W11+W14+W18+W22</f>
        <v>145611.29999999999</v>
      </c>
      <c r="X10" s="77">
        <f t="shared" si="1"/>
        <v>0</v>
      </c>
      <c r="Y10" s="77">
        <f t="shared" si="1"/>
        <v>144318.19999999998</v>
      </c>
      <c r="Z10" s="77">
        <f t="shared" si="1"/>
        <v>0</v>
      </c>
      <c r="AA10" s="77">
        <f>AA11+AA14+AA18+AA22</f>
        <v>144318.19999999998</v>
      </c>
      <c r="AB10" s="77">
        <f t="shared" si="1"/>
        <v>0</v>
      </c>
      <c r="AC10" s="77">
        <f t="shared" si="1"/>
        <v>144318.19999999998</v>
      </c>
      <c r="AD10" s="77">
        <f t="shared" si="1"/>
        <v>0</v>
      </c>
      <c r="AE10" s="77">
        <f>AE11+AE14+AE18+AE22</f>
        <v>144318.19999999998</v>
      </c>
      <c r="AF10" s="77">
        <f t="shared" si="1"/>
        <v>0</v>
      </c>
      <c r="AG10" s="77">
        <f t="shared" si="1"/>
        <v>144318.19999999998</v>
      </c>
      <c r="AH10" s="77">
        <f t="shared" si="1"/>
        <v>0</v>
      </c>
      <c r="AI10" s="77">
        <f>AI11+AI14+AI18+AI22</f>
        <v>144318.19999999998</v>
      </c>
      <c r="AJ10" s="77">
        <f t="shared" si="1"/>
        <v>0</v>
      </c>
    </row>
    <row r="11" spans="1:36" s="76" customFormat="1" ht="47.25" customHeight="1" outlineLevel="2" x14ac:dyDescent="0.25">
      <c r="A11" s="75" t="s">
        <v>18</v>
      </c>
      <c r="B11" s="101" t="s">
        <v>203</v>
      </c>
      <c r="C11" s="101"/>
      <c r="D11" s="101"/>
      <c r="E11" s="77">
        <f t="shared" ref="E11:AJ11" si="2">SUM(E12:E13)</f>
        <v>853111.7</v>
      </c>
      <c r="F11" s="77">
        <f t="shared" si="2"/>
        <v>0</v>
      </c>
      <c r="G11" s="77">
        <f>SUM(G12:G13)</f>
        <v>853111.7</v>
      </c>
      <c r="H11" s="77">
        <f t="shared" si="2"/>
        <v>0</v>
      </c>
      <c r="I11" s="77">
        <f t="shared" si="2"/>
        <v>112293.59999999999</v>
      </c>
      <c r="J11" s="77">
        <f t="shared" si="2"/>
        <v>0</v>
      </c>
      <c r="K11" s="77">
        <f>SUM(K12:K13)</f>
        <v>112293.59999999999</v>
      </c>
      <c r="L11" s="77">
        <f t="shared" si="2"/>
        <v>0</v>
      </c>
      <c r="M11" s="77">
        <f t="shared" si="2"/>
        <v>121689.60000000001</v>
      </c>
      <c r="N11" s="77">
        <f t="shared" si="2"/>
        <v>0</v>
      </c>
      <c r="O11" s="77">
        <f t="shared" si="2"/>
        <v>121689.60000000001</v>
      </c>
      <c r="P11" s="77">
        <f t="shared" si="2"/>
        <v>0</v>
      </c>
      <c r="Q11" s="77">
        <f t="shared" si="2"/>
        <v>123949.70000000001</v>
      </c>
      <c r="R11" s="77">
        <f t="shared" si="2"/>
        <v>0</v>
      </c>
      <c r="S11" s="77">
        <f t="shared" si="2"/>
        <v>123949.70000000001</v>
      </c>
      <c r="T11" s="77">
        <f t="shared" si="2"/>
        <v>0</v>
      </c>
      <c r="U11" s="77">
        <f t="shared" si="2"/>
        <v>123794.7</v>
      </c>
      <c r="V11" s="77">
        <f t="shared" si="2"/>
        <v>0</v>
      </c>
      <c r="W11" s="77">
        <f>SUM(W12:W13)</f>
        <v>123794.7</v>
      </c>
      <c r="X11" s="77">
        <f t="shared" si="2"/>
        <v>0</v>
      </c>
      <c r="Y11" s="77">
        <f t="shared" si="2"/>
        <v>123794.7</v>
      </c>
      <c r="Z11" s="77">
        <f t="shared" si="2"/>
        <v>0</v>
      </c>
      <c r="AA11" s="77">
        <f>SUM(AA12:AA13)</f>
        <v>123794.7</v>
      </c>
      <c r="AB11" s="77">
        <f t="shared" si="2"/>
        <v>0</v>
      </c>
      <c r="AC11" s="77">
        <f t="shared" si="2"/>
        <v>123794.7</v>
      </c>
      <c r="AD11" s="77">
        <f t="shared" si="2"/>
        <v>0</v>
      </c>
      <c r="AE11" s="77">
        <f>SUM(AE12:AE13)</f>
        <v>123794.7</v>
      </c>
      <c r="AF11" s="77">
        <f t="shared" si="2"/>
        <v>0</v>
      </c>
      <c r="AG11" s="77">
        <f t="shared" si="2"/>
        <v>123794.7</v>
      </c>
      <c r="AH11" s="77">
        <f t="shared" si="2"/>
        <v>0</v>
      </c>
      <c r="AI11" s="77">
        <f>SUM(AI12:AI13)</f>
        <v>123794.7</v>
      </c>
      <c r="AJ11" s="77">
        <f t="shared" si="2"/>
        <v>0</v>
      </c>
    </row>
    <row r="12" spans="1:36" ht="65.25" customHeight="1" outlineLevel="3" x14ac:dyDescent="0.25">
      <c r="A12" s="78" t="s">
        <v>33</v>
      </c>
      <c r="B12" s="79" t="s">
        <v>61</v>
      </c>
      <c r="C12" s="80" t="s">
        <v>61</v>
      </c>
      <c r="D12" s="80" t="s">
        <v>61</v>
      </c>
      <c r="E12" s="81">
        <f>SUM(F12:H12)</f>
        <v>684839.5</v>
      </c>
      <c r="F12" s="82">
        <f t="shared" ref="F12:H13" si="3">J12+N12+R12+V12+Z12+AD12+AH12</f>
        <v>0</v>
      </c>
      <c r="G12" s="82">
        <f t="shared" si="3"/>
        <v>684839.5</v>
      </c>
      <c r="H12" s="82">
        <f t="shared" si="3"/>
        <v>0</v>
      </c>
      <c r="I12" s="77">
        <f>SUM(J12:L12)</f>
        <v>90266.299999999988</v>
      </c>
      <c r="J12" s="83">
        <v>0</v>
      </c>
      <c r="K12" s="83">
        <f>83814.1+927.4+2754.6+1503.6-9.8+645.5-204.1-58.1-47.6-13.1+953.3+0.5</f>
        <v>90266.299999999988</v>
      </c>
      <c r="L12" s="83">
        <v>0</v>
      </c>
      <c r="M12" s="77">
        <f>SUM(N12:P12)</f>
        <v>97636</v>
      </c>
      <c r="N12" s="83">
        <v>0</v>
      </c>
      <c r="O12" s="83">
        <f>72269.2+111.3+2390+2+483.7+212+21806.2+132.6+229</f>
        <v>97636</v>
      </c>
      <c r="P12" s="83">
        <v>0</v>
      </c>
      <c r="Q12" s="77">
        <f>SUM(R12:T12)</f>
        <v>99347.200000000012</v>
      </c>
      <c r="R12" s="83">
        <v>0</v>
      </c>
      <c r="S12" s="83">
        <f>73659.5+111.3+2260+4.5+514.9+216.5+22209.8+132.6+238.1</f>
        <v>99347.200000000012</v>
      </c>
      <c r="T12" s="83">
        <v>0</v>
      </c>
      <c r="U12" s="77">
        <f>SUM(V12:X12)</f>
        <v>99397.5</v>
      </c>
      <c r="V12" s="83">
        <v>0</v>
      </c>
      <c r="W12" s="83">
        <v>99397.5</v>
      </c>
      <c r="X12" s="83">
        <v>0</v>
      </c>
      <c r="Y12" s="77">
        <f>SUM(Z12:AB12)</f>
        <v>99397.5</v>
      </c>
      <c r="Z12" s="83">
        <v>0</v>
      </c>
      <c r="AA12" s="83">
        <v>99397.5</v>
      </c>
      <c r="AB12" s="83">
        <v>0</v>
      </c>
      <c r="AC12" s="77">
        <f>SUM(AD12:AF12)</f>
        <v>99397.5</v>
      </c>
      <c r="AD12" s="83">
        <v>0</v>
      </c>
      <c r="AE12" s="83">
        <v>99397.5</v>
      </c>
      <c r="AF12" s="83">
        <v>0</v>
      </c>
      <c r="AG12" s="77">
        <f>SUM(AH12:AJ12)</f>
        <v>99397.5</v>
      </c>
      <c r="AH12" s="83">
        <v>0</v>
      </c>
      <c r="AI12" s="83">
        <v>99397.5</v>
      </c>
      <c r="AJ12" s="83">
        <v>0</v>
      </c>
    </row>
    <row r="13" spans="1:36" ht="75" customHeight="1" outlineLevel="3" x14ac:dyDescent="0.25">
      <c r="A13" s="78" t="s">
        <v>34</v>
      </c>
      <c r="B13" s="79" t="s">
        <v>7</v>
      </c>
      <c r="C13" s="80" t="s">
        <v>7</v>
      </c>
      <c r="D13" s="80" t="s">
        <v>7</v>
      </c>
      <c r="E13" s="81">
        <f>SUM(F13:H13)</f>
        <v>168272.2</v>
      </c>
      <c r="F13" s="82">
        <f t="shared" si="3"/>
        <v>0</v>
      </c>
      <c r="G13" s="82">
        <f t="shared" si="3"/>
        <v>168272.2</v>
      </c>
      <c r="H13" s="82">
        <f t="shared" si="3"/>
        <v>0</v>
      </c>
      <c r="I13" s="77">
        <f>SUM(J13:L13)</f>
        <v>22027.3</v>
      </c>
      <c r="J13" s="83">
        <v>0</v>
      </c>
      <c r="K13" s="83">
        <f>19052.1+2582.6+60+124.9+207.7</f>
        <v>22027.3</v>
      </c>
      <c r="L13" s="83">
        <v>0</v>
      </c>
      <c r="M13" s="77">
        <f>SUM(N13:P13)</f>
        <v>24053.600000000002</v>
      </c>
      <c r="N13" s="83">
        <v>0</v>
      </c>
      <c r="O13" s="83">
        <f>17350.9+2.1+570+30+7.7+5240+3+373.4+118+358.5</f>
        <v>24053.600000000002</v>
      </c>
      <c r="P13" s="83">
        <v>0</v>
      </c>
      <c r="Q13" s="77">
        <f>SUM(R13:T13)</f>
        <v>24602.499999999996</v>
      </c>
      <c r="R13" s="83">
        <v>0</v>
      </c>
      <c r="S13" s="83">
        <f>17683.5+2.1+790+31.2+8+5340.4+3+385.8+358.5</f>
        <v>24602.499999999996</v>
      </c>
      <c r="T13" s="83">
        <v>0</v>
      </c>
      <c r="U13" s="77">
        <f>SUM(V13:X13)</f>
        <v>24397.199999999997</v>
      </c>
      <c r="V13" s="83">
        <v>0</v>
      </c>
      <c r="W13" s="83">
        <f>17683.5+2.1+570+32.4+8.3+5340.4+3+399+358.5</f>
        <v>24397.199999999997</v>
      </c>
      <c r="X13" s="83">
        <v>0</v>
      </c>
      <c r="Y13" s="77">
        <f>SUM(Z13:AB13)</f>
        <v>24397.199999999997</v>
      </c>
      <c r="Z13" s="83">
        <v>0</v>
      </c>
      <c r="AA13" s="83">
        <f>17683.5+2.1+570+32.4+8.3+5340.4+3+399+358.5</f>
        <v>24397.199999999997</v>
      </c>
      <c r="AB13" s="83">
        <v>0</v>
      </c>
      <c r="AC13" s="77">
        <f>SUM(AD13:AF13)</f>
        <v>24397.199999999997</v>
      </c>
      <c r="AD13" s="83">
        <v>0</v>
      </c>
      <c r="AE13" s="83">
        <f>17683.5+2.1+570+32.4+8.3+5340.4+3+399+358.5</f>
        <v>24397.199999999997</v>
      </c>
      <c r="AF13" s="83">
        <v>0</v>
      </c>
      <c r="AG13" s="77">
        <f>SUM(AH13:AJ13)</f>
        <v>24397.199999999997</v>
      </c>
      <c r="AH13" s="83">
        <v>0</v>
      </c>
      <c r="AI13" s="83">
        <f>17683.5+2.1+570+32.4+8.3+5340.4+3+399+358.5</f>
        <v>24397.199999999997</v>
      </c>
      <c r="AJ13" s="83">
        <v>0</v>
      </c>
    </row>
    <row r="14" spans="1:36" s="76" customFormat="1" ht="30.75" customHeight="1" outlineLevel="2" x14ac:dyDescent="0.25">
      <c r="A14" s="75" t="s">
        <v>19</v>
      </c>
      <c r="B14" s="101" t="s">
        <v>225</v>
      </c>
      <c r="C14" s="101"/>
      <c r="D14" s="101"/>
      <c r="E14" s="77">
        <f t="shared" ref="E14:AJ14" si="4">SUM(E15:E17)</f>
        <v>3687.3</v>
      </c>
      <c r="F14" s="77">
        <f t="shared" si="4"/>
        <v>0</v>
      </c>
      <c r="G14" s="77">
        <f>SUM(G15:G17)</f>
        <v>3687.3</v>
      </c>
      <c r="H14" s="77">
        <f t="shared" si="4"/>
        <v>0</v>
      </c>
      <c r="I14" s="77">
        <f t="shared" si="4"/>
        <v>381.20000000000005</v>
      </c>
      <c r="J14" s="77">
        <f t="shared" si="4"/>
        <v>0</v>
      </c>
      <c r="K14" s="77">
        <f>SUM(K15:K17)</f>
        <v>381.20000000000005</v>
      </c>
      <c r="L14" s="77">
        <f t="shared" si="4"/>
        <v>0</v>
      </c>
      <c r="M14" s="77">
        <f t="shared" si="4"/>
        <v>515.5</v>
      </c>
      <c r="N14" s="77">
        <f t="shared" si="4"/>
        <v>0</v>
      </c>
      <c r="O14" s="77">
        <f t="shared" si="4"/>
        <v>515.5</v>
      </c>
      <c r="P14" s="77">
        <f t="shared" si="4"/>
        <v>0</v>
      </c>
      <c r="Q14" s="77">
        <f t="shared" si="4"/>
        <v>538.6</v>
      </c>
      <c r="R14" s="77">
        <f t="shared" si="4"/>
        <v>0</v>
      </c>
      <c r="S14" s="77">
        <f t="shared" si="4"/>
        <v>538.6</v>
      </c>
      <c r="T14" s="77">
        <f t="shared" si="4"/>
        <v>0</v>
      </c>
      <c r="U14" s="77">
        <f t="shared" si="4"/>
        <v>563</v>
      </c>
      <c r="V14" s="77">
        <f t="shared" si="4"/>
        <v>0</v>
      </c>
      <c r="W14" s="77">
        <f>SUM(W15:W17)</f>
        <v>563</v>
      </c>
      <c r="X14" s="77">
        <f t="shared" si="4"/>
        <v>0</v>
      </c>
      <c r="Y14" s="77">
        <f t="shared" si="4"/>
        <v>563</v>
      </c>
      <c r="Z14" s="77">
        <f t="shared" si="4"/>
        <v>0</v>
      </c>
      <c r="AA14" s="77">
        <f>SUM(AA15:AA17)</f>
        <v>563</v>
      </c>
      <c r="AB14" s="77">
        <f t="shared" si="4"/>
        <v>0</v>
      </c>
      <c r="AC14" s="77">
        <f t="shared" si="4"/>
        <v>563</v>
      </c>
      <c r="AD14" s="77">
        <f t="shared" si="4"/>
        <v>0</v>
      </c>
      <c r="AE14" s="77">
        <f>SUM(AE15:AE17)</f>
        <v>563</v>
      </c>
      <c r="AF14" s="77">
        <f t="shared" si="4"/>
        <v>0</v>
      </c>
      <c r="AG14" s="77">
        <f t="shared" si="4"/>
        <v>563</v>
      </c>
      <c r="AH14" s="77">
        <f t="shared" si="4"/>
        <v>0</v>
      </c>
      <c r="AI14" s="77">
        <f>SUM(AI15:AI17)</f>
        <v>563</v>
      </c>
      <c r="AJ14" s="77">
        <f t="shared" si="4"/>
        <v>0</v>
      </c>
    </row>
    <row r="15" spans="1:36" ht="47.25" customHeight="1" outlineLevel="3" x14ac:dyDescent="0.25">
      <c r="A15" s="78" t="s">
        <v>36</v>
      </c>
      <c r="B15" s="79" t="s">
        <v>61</v>
      </c>
      <c r="C15" s="80" t="s">
        <v>61</v>
      </c>
      <c r="D15" s="80" t="s">
        <v>61</v>
      </c>
      <c r="E15" s="81">
        <f>SUM(F15:H15)</f>
        <v>1712.6000000000001</v>
      </c>
      <c r="F15" s="82">
        <f t="shared" ref="F15:H17" si="5">J15+N15+R15+V15+Z15+AD15+AH15</f>
        <v>0</v>
      </c>
      <c r="G15" s="82">
        <f t="shared" si="5"/>
        <v>1712.6000000000001</v>
      </c>
      <c r="H15" s="82">
        <f t="shared" si="5"/>
        <v>0</v>
      </c>
      <c r="I15" s="77">
        <f>SUM(J15:L15)</f>
        <v>159.60000000000002</v>
      </c>
      <c r="J15" s="83">
        <v>0</v>
      </c>
      <c r="K15" s="83">
        <f>162+9.8+0.3-12-0.5</f>
        <v>159.60000000000002</v>
      </c>
      <c r="L15" s="83">
        <v>0</v>
      </c>
      <c r="M15" s="77">
        <f>SUM(N15:P15)</f>
        <v>240.1</v>
      </c>
      <c r="N15" s="83">
        <v>0</v>
      </c>
      <c r="O15" s="83">
        <v>240.1</v>
      </c>
      <c r="P15" s="83">
        <v>0</v>
      </c>
      <c r="Q15" s="77">
        <f>SUM(R15:T15)</f>
        <v>252.1</v>
      </c>
      <c r="R15" s="83">
        <v>0</v>
      </c>
      <c r="S15" s="83">
        <v>252.1</v>
      </c>
      <c r="T15" s="83">
        <v>0</v>
      </c>
      <c r="U15" s="77">
        <f>SUM(V15:X15)</f>
        <v>265.2</v>
      </c>
      <c r="V15" s="83">
        <v>0</v>
      </c>
      <c r="W15" s="83">
        <v>265.2</v>
      </c>
      <c r="X15" s="83">
        <v>0</v>
      </c>
      <c r="Y15" s="77">
        <f>SUM(Z15:AB15)</f>
        <v>265.2</v>
      </c>
      <c r="Z15" s="83">
        <v>0</v>
      </c>
      <c r="AA15" s="83">
        <v>265.2</v>
      </c>
      <c r="AB15" s="83">
        <v>0</v>
      </c>
      <c r="AC15" s="77">
        <f>SUM(AD15:AF15)</f>
        <v>265.2</v>
      </c>
      <c r="AD15" s="83">
        <v>0</v>
      </c>
      <c r="AE15" s="83">
        <v>265.2</v>
      </c>
      <c r="AF15" s="83">
        <v>0</v>
      </c>
      <c r="AG15" s="77">
        <f>SUM(AH15:AJ15)</f>
        <v>265.2</v>
      </c>
      <c r="AH15" s="83">
        <v>0</v>
      </c>
      <c r="AI15" s="83">
        <v>265.2</v>
      </c>
      <c r="AJ15" s="83">
        <v>0</v>
      </c>
    </row>
    <row r="16" spans="1:36" ht="47.25" customHeight="1" outlineLevel="3" x14ac:dyDescent="0.25">
      <c r="A16" s="78" t="s">
        <v>37</v>
      </c>
      <c r="B16" s="79" t="s">
        <v>7</v>
      </c>
      <c r="C16" s="80" t="s">
        <v>7</v>
      </c>
      <c r="D16" s="80" t="s">
        <v>7</v>
      </c>
      <c r="E16" s="81">
        <f>SUM(F16:H16)</f>
        <v>707.7</v>
      </c>
      <c r="F16" s="82">
        <f t="shared" si="5"/>
        <v>0</v>
      </c>
      <c r="G16" s="82">
        <f t="shared" si="5"/>
        <v>707.7</v>
      </c>
      <c r="H16" s="82">
        <f t="shared" si="5"/>
        <v>0</v>
      </c>
      <c r="I16" s="77">
        <f>SUM(J16:L16)</f>
        <v>77.7</v>
      </c>
      <c r="J16" s="83">
        <v>0</v>
      </c>
      <c r="K16" s="83">
        <f>69.8+7.9</f>
        <v>77.7</v>
      </c>
      <c r="L16" s="83">
        <v>0</v>
      </c>
      <c r="M16" s="77">
        <f>SUM(N16:P16)</f>
        <v>99</v>
      </c>
      <c r="N16" s="83">
        <v>0</v>
      </c>
      <c r="O16" s="83">
        <v>99</v>
      </c>
      <c r="P16" s="83">
        <v>0</v>
      </c>
      <c r="Q16" s="77">
        <f>SUM(R16:T16)</f>
        <v>103</v>
      </c>
      <c r="R16" s="83">
        <v>0</v>
      </c>
      <c r="S16" s="83">
        <v>103</v>
      </c>
      <c r="T16" s="83">
        <v>0</v>
      </c>
      <c r="U16" s="77">
        <f>SUM(V16:X16)</f>
        <v>107</v>
      </c>
      <c r="V16" s="83">
        <v>0</v>
      </c>
      <c r="W16" s="83">
        <v>107</v>
      </c>
      <c r="X16" s="83">
        <v>0</v>
      </c>
      <c r="Y16" s="77">
        <f>SUM(Z16:AB16)</f>
        <v>107</v>
      </c>
      <c r="Z16" s="83">
        <v>0</v>
      </c>
      <c r="AA16" s="83">
        <v>107</v>
      </c>
      <c r="AB16" s="83">
        <v>0</v>
      </c>
      <c r="AC16" s="77">
        <f>SUM(AD16:AF16)</f>
        <v>107</v>
      </c>
      <c r="AD16" s="83">
        <v>0</v>
      </c>
      <c r="AE16" s="83">
        <v>107</v>
      </c>
      <c r="AF16" s="83">
        <v>0</v>
      </c>
      <c r="AG16" s="77">
        <f>SUM(AH16:AJ16)</f>
        <v>107</v>
      </c>
      <c r="AH16" s="83">
        <v>0</v>
      </c>
      <c r="AI16" s="83">
        <v>107</v>
      </c>
      <c r="AJ16" s="83">
        <v>0</v>
      </c>
    </row>
    <row r="17" spans="1:37" ht="59.25" customHeight="1" outlineLevel="3" x14ac:dyDescent="0.25">
      <c r="A17" s="78" t="s">
        <v>38</v>
      </c>
      <c r="B17" s="79" t="s">
        <v>62</v>
      </c>
      <c r="C17" s="84" t="s">
        <v>62</v>
      </c>
      <c r="D17" s="84" t="s">
        <v>62</v>
      </c>
      <c r="E17" s="81">
        <f>SUM(F17:H17)</f>
        <v>1267</v>
      </c>
      <c r="F17" s="82">
        <f t="shared" si="5"/>
        <v>0</v>
      </c>
      <c r="G17" s="82">
        <f t="shared" si="5"/>
        <v>1267</v>
      </c>
      <c r="H17" s="82">
        <f t="shared" si="5"/>
        <v>0</v>
      </c>
      <c r="I17" s="77">
        <f>SUM(J17:L17)</f>
        <v>143.9</v>
      </c>
      <c r="J17" s="83">
        <v>0</v>
      </c>
      <c r="K17" s="83">
        <f>154.1-11.5+1.3</f>
        <v>143.9</v>
      </c>
      <c r="L17" s="83">
        <v>0</v>
      </c>
      <c r="M17" s="77">
        <f>SUM(N17:P17)</f>
        <v>176.4</v>
      </c>
      <c r="N17" s="83">
        <v>0</v>
      </c>
      <c r="O17" s="83">
        <f>176.4</f>
        <v>176.4</v>
      </c>
      <c r="P17" s="83">
        <v>0</v>
      </c>
      <c r="Q17" s="77">
        <f>SUM(R17:T17)</f>
        <v>183.5</v>
      </c>
      <c r="R17" s="83">
        <v>0</v>
      </c>
      <c r="S17" s="83">
        <v>183.5</v>
      </c>
      <c r="T17" s="83">
        <v>0</v>
      </c>
      <c r="U17" s="77">
        <f>SUM(V17:X17)</f>
        <v>190.8</v>
      </c>
      <c r="V17" s="83">
        <v>0</v>
      </c>
      <c r="W17" s="83">
        <v>190.8</v>
      </c>
      <c r="X17" s="83">
        <v>0</v>
      </c>
      <c r="Y17" s="77">
        <f>SUM(Z17:AB17)</f>
        <v>190.8</v>
      </c>
      <c r="Z17" s="83">
        <v>0</v>
      </c>
      <c r="AA17" s="83">
        <v>190.8</v>
      </c>
      <c r="AB17" s="83">
        <v>0</v>
      </c>
      <c r="AC17" s="77">
        <f>SUM(AD17:AF17)</f>
        <v>190.8</v>
      </c>
      <c r="AD17" s="83">
        <v>0</v>
      </c>
      <c r="AE17" s="83">
        <v>190.8</v>
      </c>
      <c r="AF17" s="83">
        <v>0</v>
      </c>
      <c r="AG17" s="77">
        <f>SUM(AH17:AJ17)</f>
        <v>190.8</v>
      </c>
      <c r="AH17" s="83">
        <v>0</v>
      </c>
      <c r="AI17" s="83">
        <v>190.8</v>
      </c>
      <c r="AJ17" s="83">
        <v>0</v>
      </c>
    </row>
    <row r="18" spans="1:37" s="76" customFormat="1" ht="93" customHeight="1" outlineLevel="2" x14ac:dyDescent="0.25">
      <c r="A18" s="75" t="s">
        <v>20</v>
      </c>
      <c r="B18" s="101" t="s">
        <v>222</v>
      </c>
      <c r="C18" s="101"/>
      <c r="D18" s="101"/>
      <c r="E18" s="77">
        <f t="shared" ref="E18:AJ18" si="6">SUM(E19:E21)</f>
        <v>12724</v>
      </c>
      <c r="F18" s="77">
        <f t="shared" si="6"/>
        <v>0</v>
      </c>
      <c r="G18" s="77">
        <f>SUM(G19:G21)</f>
        <v>12724</v>
      </c>
      <c r="H18" s="77">
        <f t="shared" si="6"/>
        <v>0</v>
      </c>
      <c r="I18" s="77">
        <f t="shared" si="6"/>
        <v>1846.2</v>
      </c>
      <c r="J18" s="77">
        <f t="shared" si="6"/>
        <v>0</v>
      </c>
      <c r="K18" s="77">
        <f>SUM(K19:K21)</f>
        <v>1846.2</v>
      </c>
      <c r="L18" s="77">
        <f t="shared" si="6"/>
        <v>0</v>
      </c>
      <c r="M18" s="77">
        <f t="shared" si="6"/>
        <v>1590.7000000000003</v>
      </c>
      <c r="N18" s="77">
        <f t="shared" si="6"/>
        <v>0</v>
      </c>
      <c r="O18" s="77">
        <f t="shared" si="6"/>
        <v>1590.7000000000003</v>
      </c>
      <c r="P18" s="77">
        <f t="shared" si="6"/>
        <v>0</v>
      </c>
      <c r="Q18" s="77">
        <f t="shared" si="6"/>
        <v>2023.5</v>
      </c>
      <c r="R18" s="77">
        <f t="shared" si="6"/>
        <v>0</v>
      </c>
      <c r="S18" s="77">
        <f t="shared" si="6"/>
        <v>2023.5</v>
      </c>
      <c r="T18" s="77">
        <f t="shared" si="6"/>
        <v>0</v>
      </c>
      <c r="U18" s="77">
        <f t="shared" si="6"/>
        <v>1815.9</v>
      </c>
      <c r="V18" s="77">
        <f t="shared" si="6"/>
        <v>0</v>
      </c>
      <c r="W18" s="77">
        <f>SUM(W19:W21)</f>
        <v>1815.9</v>
      </c>
      <c r="X18" s="77">
        <f t="shared" si="6"/>
        <v>0</v>
      </c>
      <c r="Y18" s="77">
        <f t="shared" si="6"/>
        <v>1815.9</v>
      </c>
      <c r="Z18" s="77">
        <f t="shared" si="6"/>
        <v>0</v>
      </c>
      <c r="AA18" s="77">
        <f>SUM(AA19:AA21)</f>
        <v>1815.9</v>
      </c>
      <c r="AB18" s="77">
        <f t="shared" si="6"/>
        <v>0</v>
      </c>
      <c r="AC18" s="77">
        <f t="shared" si="6"/>
        <v>1815.9</v>
      </c>
      <c r="AD18" s="77">
        <f t="shared" si="6"/>
        <v>0</v>
      </c>
      <c r="AE18" s="77">
        <f>SUM(AE19:AE21)</f>
        <v>1815.9</v>
      </c>
      <c r="AF18" s="77">
        <f t="shared" si="6"/>
        <v>0</v>
      </c>
      <c r="AG18" s="77">
        <f t="shared" si="6"/>
        <v>1815.9</v>
      </c>
      <c r="AH18" s="77">
        <f t="shared" si="6"/>
        <v>0</v>
      </c>
      <c r="AI18" s="77">
        <f>SUM(AI19:AI21)</f>
        <v>1815.9</v>
      </c>
      <c r="AJ18" s="77">
        <f t="shared" si="6"/>
        <v>0</v>
      </c>
    </row>
    <row r="19" spans="1:37" ht="47.25" customHeight="1" outlineLevel="3" x14ac:dyDescent="0.25">
      <c r="A19" s="78" t="s">
        <v>40</v>
      </c>
      <c r="B19" s="79" t="s">
        <v>61</v>
      </c>
      <c r="C19" s="80" t="s">
        <v>61</v>
      </c>
      <c r="D19" s="80" t="s">
        <v>61</v>
      </c>
      <c r="E19" s="81">
        <f>SUM(F19:H19)</f>
        <v>5676.9</v>
      </c>
      <c r="F19" s="82">
        <f t="shared" ref="F19:H21" si="7">J19+N19+R19+V19+Z19+AD19+AH19</f>
        <v>0</v>
      </c>
      <c r="G19" s="82">
        <f t="shared" si="7"/>
        <v>5676.9</v>
      </c>
      <c r="H19" s="82">
        <f t="shared" si="7"/>
        <v>0</v>
      </c>
      <c r="I19" s="77">
        <f>SUM(J19:L19)</f>
        <v>1145.8</v>
      </c>
      <c r="J19" s="83">
        <v>0</v>
      </c>
      <c r="K19" s="83">
        <f>1292.4-7.7-15.7-100.4-22.3-0.5</f>
        <v>1145.8</v>
      </c>
      <c r="L19" s="83">
        <v>0</v>
      </c>
      <c r="M19" s="77">
        <f>SUM(N19:P19)</f>
        <v>495.30000000000007</v>
      </c>
      <c r="N19" s="83">
        <v>0</v>
      </c>
      <c r="O19" s="83">
        <f>19.6+0.1+115.4+174.1+186.1</f>
        <v>495.30000000000007</v>
      </c>
      <c r="P19" s="83">
        <v>0</v>
      </c>
      <c r="Q19" s="77">
        <f>SUM(R19:T19)</f>
        <v>1293.8</v>
      </c>
      <c r="R19" s="83">
        <v>0</v>
      </c>
      <c r="S19" s="83">
        <f>44.1+0.1+270+407.4+572.2</f>
        <v>1293.8</v>
      </c>
      <c r="T19" s="83">
        <v>0</v>
      </c>
      <c r="U19" s="77">
        <f>SUM(V19:X19)</f>
        <v>685.5</v>
      </c>
      <c r="V19" s="83">
        <v>0</v>
      </c>
      <c r="W19" s="83">
        <f>24.5+0.1+156+235.4+269.5</f>
        <v>685.5</v>
      </c>
      <c r="X19" s="83">
        <v>0</v>
      </c>
      <c r="Y19" s="77">
        <f>SUM(Z19:AB19)</f>
        <v>685.5</v>
      </c>
      <c r="Z19" s="83">
        <v>0</v>
      </c>
      <c r="AA19" s="83">
        <f>24.5+0.1+156+235.4+269.5</f>
        <v>685.5</v>
      </c>
      <c r="AB19" s="83">
        <v>0</v>
      </c>
      <c r="AC19" s="77">
        <f>SUM(AD19:AF19)</f>
        <v>685.5</v>
      </c>
      <c r="AD19" s="83">
        <v>0</v>
      </c>
      <c r="AE19" s="83">
        <f>24.5+0.1+156+235.4+269.5</f>
        <v>685.5</v>
      </c>
      <c r="AF19" s="83">
        <v>0</v>
      </c>
      <c r="AG19" s="77">
        <f>SUM(AH19:AJ19)</f>
        <v>685.5</v>
      </c>
      <c r="AH19" s="83">
        <v>0</v>
      </c>
      <c r="AI19" s="83">
        <f>24.5+0.1+156+235.4+269.5</f>
        <v>685.5</v>
      </c>
      <c r="AJ19" s="83">
        <v>0</v>
      </c>
    </row>
    <row r="20" spans="1:37" ht="50.25" customHeight="1" outlineLevel="3" x14ac:dyDescent="0.25">
      <c r="A20" s="78" t="s">
        <v>41</v>
      </c>
      <c r="B20" s="79" t="s">
        <v>7</v>
      </c>
      <c r="C20" s="80" t="s">
        <v>7</v>
      </c>
      <c r="D20" s="80" t="s">
        <v>7</v>
      </c>
      <c r="E20" s="81">
        <f>SUM(F20:H20)</f>
        <v>2750.6</v>
      </c>
      <c r="F20" s="82">
        <f t="shared" si="7"/>
        <v>0</v>
      </c>
      <c r="G20" s="82">
        <f t="shared" si="7"/>
        <v>2750.6</v>
      </c>
      <c r="H20" s="82">
        <f t="shared" si="7"/>
        <v>0</v>
      </c>
      <c r="I20" s="77">
        <f>SUM(J20:L20)</f>
        <v>356.2</v>
      </c>
      <c r="J20" s="83">
        <v>0</v>
      </c>
      <c r="K20" s="83">
        <f>369.3+12.9-26</f>
        <v>356.2</v>
      </c>
      <c r="L20" s="83">
        <v>0</v>
      </c>
      <c r="M20" s="77">
        <f>SUM(N20:P20)</f>
        <v>516.20000000000005</v>
      </c>
      <c r="N20" s="83">
        <v>0</v>
      </c>
      <c r="O20" s="83">
        <f>21+130.8+117.9+246.5</f>
        <v>516.20000000000005</v>
      </c>
      <c r="P20" s="83">
        <v>0</v>
      </c>
      <c r="Q20" s="77">
        <f>SUM(R20:T20)</f>
        <v>103.4</v>
      </c>
      <c r="R20" s="83">
        <v>0</v>
      </c>
      <c r="S20" s="83">
        <f>4.2+27.2+24.5+47.5</f>
        <v>103.4</v>
      </c>
      <c r="T20" s="83">
        <v>0</v>
      </c>
      <c r="U20" s="77">
        <f>SUM(V20:X20)</f>
        <v>443.7</v>
      </c>
      <c r="V20" s="83">
        <v>0</v>
      </c>
      <c r="W20" s="83">
        <f>16.8+113.2+102+211.7</f>
        <v>443.7</v>
      </c>
      <c r="X20" s="83">
        <v>0</v>
      </c>
      <c r="Y20" s="77">
        <f>SUM(Z20:AB20)</f>
        <v>443.7</v>
      </c>
      <c r="Z20" s="83">
        <v>0</v>
      </c>
      <c r="AA20" s="83">
        <f>16.8+113.2+102+211.7</f>
        <v>443.7</v>
      </c>
      <c r="AB20" s="83">
        <v>0</v>
      </c>
      <c r="AC20" s="77">
        <f>SUM(AD20:AF20)</f>
        <v>443.7</v>
      </c>
      <c r="AD20" s="83">
        <v>0</v>
      </c>
      <c r="AE20" s="83">
        <f>16.8+113.2+102+211.7</f>
        <v>443.7</v>
      </c>
      <c r="AF20" s="83">
        <v>0</v>
      </c>
      <c r="AG20" s="77">
        <f>SUM(AH20:AJ20)</f>
        <v>443.7</v>
      </c>
      <c r="AH20" s="83">
        <v>0</v>
      </c>
      <c r="AI20" s="83">
        <f>16.8+113.2+102+211.7</f>
        <v>443.7</v>
      </c>
      <c r="AJ20" s="83">
        <v>0</v>
      </c>
    </row>
    <row r="21" spans="1:37" ht="75.75" customHeight="1" outlineLevel="3" x14ac:dyDescent="0.25">
      <c r="A21" s="78" t="s">
        <v>42</v>
      </c>
      <c r="B21" s="79" t="s">
        <v>62</v>
      </c>
      <c r="C21" s="84" t="s">
        <v>62</v>
      </c>
      <c r="D21" s="84" t="s">
        <v>62</v>
      </c>
      <c r="E21" s="81">
        <f>SUM(F21:H21)</f>
        <v>4296.5</v>
      </c>
      <c r="F21" s="82">
        <f t="shared" si="7"/>
        <v>0</v>
      </c>
      <c r="G21" s="82">
        <f t="shared" si="7"/>
        <v>4296.5</v>
      </c>
      <c r="H21" s="82">
        <f t="shared" si="7"/>
        <v>0</v>
      </c>
      <c r="I21" s="77">
        <f>SUM(J21:L21)</f>
        <v>344.2</v>
      </c>
      <c r="J21" s="83">
        <v>0</v>
      </c>
      <c r="K21" s="83">
        <f>577.5-104.9-36.1-91-1.3</f>
        <v>344.2</v>
      </c>
      <c r="L21" s="83">
        <v>0</v>
      </c>
      <c r="M21" s="77">
        <f>SUM(N21:P21)</f>
        <v>579.20000000000005</v>
      </c>
      <c r="N21" s="83">
        <v>0</v>
      </c>
      <c r="O21" s="83">
        <f>19.6+170+114.6+95+180</f>
        <v>579.20000000000005</v>
      </c>
      <c r="P21" s="83">
        <v>0</v>
      </c>
      <c r="Q21" s="77">
        <f>SUM(R21:T21)</f>
        <v>626.29999999999995</v>
      </c>
      <c r="R21" s="83">
        <v>0</v>
      </c>
      <c r="S21" s="83">
        <f>19.6+176.8+119.2+95+215.7</f>
        <v>626.29999999999995</v>
      </c>
      <c r="T21" s="83">
        <v>0</v>
      </c>
      <c r="U21" s="77">
        <f>SUM(V21:X21)</f>
        <v>686.7</v>
      </c>
      <c r="V21" s="83">
        <v>0</v>
      </c>
      <c r="W21" s="83">
        <f>23.8+220.7+150.9+95+196.3</f>
        <v>686.7</v>
      </c>
      <c r="X21" s="83">
        <v>0</v>
      </c>
      <c r="Y21" s="77">
        <f>SUM(Z21:AB21)</f>
        <v>686.7</v>
      </c>
      <c r="Z21" s="83">
        <v>0</v>
      </c>
      <c r="AA21" s="83">
        <f>23.8+220.7+150.9+95+196.3</f>
        <v>686.7</v>
      </c>
      <c r="AB21" s="83">
        <v>0</v>
      </c>
      <c r="AC21" s="77">
        <f>SUM(AD21:AF21)</f>
        <v>686.7</v>
      </c>
      <c r="AD21" s="83">
        <v>0</v>
      </c>
      <c r="AE21" s="83">
        <f>23.8+220.7+150.9+95+196.3</f>
        <v>686.7</v>
      </c>
      <c r="AF21" s="83">
        <v>0</v>
      </c>
      <c r="AG21" s="77">
        <f>SUM(AH21:AJ21)</f>
        <v>686.7</v>
      </c>
      <c r="AH21" s="83">
        <v>0</v>
      </c>
      <c r="AI21" s="83">
        <f>23.8+220.7+150.9+95+196.3</f>
        <v>686.7</v>
      </c>
      <c r="AJ21" s="83">
        <v>0</v>
      </c>
    </row>
    <row r="22" spans="1:37" s="71" customFormat="1" ht="47.25" customHeight="1" outlineLevel="2" x14ac:dyDescent="0.25">
      <c r="A22" s="75" t="s">
        <v>54</v>
      </c>
      <c r="B22" s="101" t="s">
        <v>204</v>
      </c>
      <c r="C22" s="101"/>
      <c r="D22" s="101"/>
      <c r="E22" s="77">
        <f>SUM(E23:E30)</f>
        <v>127356.59999999999</v>
      </c>
      <c r="F22" s="77">
        <f t="shared" ref="F22:K22" si="8">SUM(F23:F25)</f>
        <v>0</v>
      </c>
      <c r="G22" s="77">
        <f>SUM(G23:G30)</f>
        <v>127356.59999999999</v>
      </c>
      <c r="H22" s="77">
        <f t="shared" si="8"/>
        <v>0</v>
      </c>
      <c r="I22" s="77">
        <f t="shared" si="8"/>
        <v>15628.4</v>
      </c>
      <c r="J22" s="77">
        <f t="shared" si="8"/>
        <v>0</v>
      </c>
      <c r="K22" s="77">
        <f t="shared" si="8"/>
        <v>15628.4</v>
      </c>
      <c r="L22" s="77">
        <f>SUM(L23:L24)</f>
        <v>0</v>
      </c>
      <c r="M22" s="77">
        <f>SUM(M23:M30)</f>
        <v>18689.599999999999</v>
      </c>
      <c r="N22" s="77">
        <f>SUM(N23:N25)</f>
        <v>0</v>
      </c>
      <c r="O22" s="77">
        <f>SUM(O23:O30)</f>
        <v>18689.599999999999</v>
      </c>
      <c r="P22" s="77">
        <f t="shared" ref="P22:AJ22" si="9">SUM(P23:P30)</f>
        <v>0</v>
      </c>
      <c r="Q22" s="77">
        <f>SUM(Q23:Q30)</f>
        <v>19167.100000000002</v>
      </c>
      <c r="R22" s="77">
        <f t="shared" si="9"/>
        <v>0</v>
      </c>
      <c r="S22" s="77">
        <f>SUM(S23:S30)</f>
        <v>19167.100000000002</v>
      </c>
      <c r="T22" s="77">
        <f t="shared" si="9"/>
        <v>0</v>
      </c>
      <c r="U22" s="77">
        <f>SUM(U23:U30)</f>
        <v>19437.7</v>
      </c>
      <c r="V22" s="77">
        <f t="shared" si="9"/>
        <v>0</v>
      </c>
      <c r="W22" s="77">
        <f>SUM(W23:W30)</f>
        <v>19437.7</v>
      </c>
      <c r="X22" s="77">
        <f t="shared" si="9"/>
        <v>0</v>
      </c>
      <c r="Y22" s="77">
        <f>SUM(Y23:Y30)</f>
        <v>18144.600000000002</v>
      </c>
      <c r="Z22" s="77">
        <f t="shared" si="9"/>
        <v>0</v>
      </c>
      <c r="AA22" s="77">
        <f>SUM(AA23:AA30)</f>
        <v>18144.600000000002</v>
      </c>
      <c r="AB22" s="77">
        <f t="shared" si="9"/>
        <v>0</v>
      </c>
      <c r="AC22" s="77">
        <f t="shared" si="9"/>
        <v>18144.600000000002</v>
      </c>
      <c r="AD22" s="77">
        <f t="shared" si="9"/>
        <v>0</v>
      </c>
      <c r="AE22" s="77">
        <f>SUM(AE23:AE30)</f>
        <v>18144.600000000002</v>
      </c>
      <c r="AF22" s="77">
        <f t="shared" si="9"/>
        <v>0</v>
      </c>
      <c r="AG22" s="77">
        <f t="shared" si="9"/>
        <v>18144.600000000002</v>
      </c>
      <c r="AH22" s="77">
        <f t="shared" si="9"/>
        <v>0</v>
      </c>
      <c r="AI22" s="77">
        <f>SUM(AI23:AI30)</f>
        <v>18144.600000000002</v>
      </c>
      <c r="AJ22" s="77">
        <f t="shared" si="9"/>
        <v>0</v>
      </c>
      <c r="AK22" s="77"/>
    </row>
    <row r="23" spans="1:37" ht="140.25" customHeight="1" outlineLevel="3" x14ac:dyDescent="0.25">
      <c r="A23" s="78" t="s">
        <v>56</v>
      </c>
      <c r="B23" s="88" t="s">
        <v>184</v>
      </c>
      <c r="C23" s="80" t="s">
        <v>61</v>
      </c>
      <c r="D23" s="80" t="s">
        <v>61</v>
      </c>
      <c r="E23" s="81">
        <f t="shared" ref="E23:E24" si="10">SUM(F23:H23)</f>
        <v>17829.399999999998</v>
      </c>
      <c r="F23" s="82">
        <f t="shared" ref="F23:H25" si="11">J23+N23+R23+V23+Z23+AD23+AH23</f>
        <v>0</v>
      </c>
      <c r="G23" s="82">
        <f t="shared" si="11"/>
        <v>17829.399999999998</v>
      </c>
      <c r="H23" s="82">
        <f t="shared" si="11"/>
        <v>0</v>
      </c>
      <c r="I23" s="77">
        <f>SUM(J23:L23)</f>
        <v>2285</v>
      </c>
      <c r="J23" s="83">
        <v>0</v>
      </c>
      <c r="K23" s="83">
        <f>2275.3+9.7</f>
        <v>2285</v>
      </c>
      <c r="L23" s="83">
        <v>0</v>
      </c>
      <c r="M23" s="77">
        <f t="shared" ref="M23:M30" si="12">SUM(N23:P23)</f>
        <v>2547.4</v>
      </c>
      <c r="N23" s="83">
        <v>0</v>
      </c>
      <c r="O23" s="83">
        <v>2547.4</v>
      </c>
      <c r="P23" s="83">
        <v>0</v>
      </c>
      <c r="Q23" s="77">
        <f>SUM(R23:T23)</f>
        <v>2599.4</v>
      </c>
      <c r="R23" s="83">
        <v>0</v>
      </c>
      <c r="S23" s="83">
        <v>2599.4</v>
      </c>
      <c r="T23" s="83">
        <v>0</v>
      </c>
      <c r="U23" s="77">
        <f>SUM(V23:X23)</f>
        <v>2599.4</v>
      </c>
      <c r="V23" s="83">
        <v>0</v>
      </c>
      <c r="W23" s="83">
        <v>2599.4</v>
      </c>
      <c r="X23" s="83">
        <v>0</v>
      </c>
      <c r="Y23" s="77">
        <f>SUM(Z23:AB23)</f>
        <v>2599.4</v>
      </c>
      <c r="Z23" s="83">
        <v>0</v>
      </c>
      <c r="AA23" s="83">
        <v>2599.4</v>
      </c>
      <c r="AB23" s="83">
        <v>0</v>
      </c>
      <c r="AC23" s="77">
        <f>SUM(AD23:AF23)</f>
        <v>2599.4</v>
      </c>
      <c r="AD23" s="83">
        <v>0</v>
      </c>
      <c r="AE23" s="83">
        <v>2599.4</v>
      </c>
      <c r="AF23" s="83">
        <v>0</v>
      </c>
      <c r="AG23" s="77">
        <f>SUM(AH23:AJ23)</f>
        <v>2599.4</v>
      </c>
      <c r="AH23" s="83">
        <v>0</v>
      </c>
      <c r="AI23" s="83">
        <v>2599.4</v>
      </c>
      <c r="AJ23" s="83">
        <v>0</v>
      </c>
    </row>
    <row r="24" spans="1:37" ht="118.5" customHeight="1" outlineLevel="3" x14ac:dyDescent="0.25">
      <c r="A24" s="78" t="s">
        <v>57</v>
      </c>
      <c r="B24" s="79" t="s">
        <v>185</v>
      </c>
      <c r="C24" s="80" t="s">
        <v>61</v>
      </c>
      <c r="D24" s="80" t="s">
        <v>61</v>
      </c>
      <c r="E24" s="81">
        <f t="shared" si="10"/>
        <v>94895.2</v>
      </c>
      <c r="F24" s="82">
        <f t="shared" si="11"/>
        <v>0</v>
      </c>
      <c r="G24" s="82">
        <f t="shared" si="11"/>
        <v>94895.2</v>
      </c>
      <c r="H24" s="82">
        <f t="shared" si="11"/>
        <v>0</v>
      </c>
      <c r="I24" s="77">
        <f>SUM(J24:L24)</f>
        <v>12171</v>
      </c>
      <c r="J24" s="83">
        <v>0</v>
      </c>
      <c r="K24" s="83">
        <f>11477.5+631.3+62.2</f>
        <v>12171</v>
      </c>
      <c r="L24" s="83">
        <v>0</v>
      </c>
      <c r="M24" s="77">
        <f t="shared" si="12"/>
        <v>13556.7</v>
      </c>
      <c r="N24" s="83">
        <v>0</v>
      </c>
      <c r="O24" s="83">
        <v>13556.7</v>
      </c>
      <c r="P24" s="83">
        <v>0</v>
      </c>
      <c r="Q24" s="77">
        <f>SUM(R24:T24)</f>
        <v>13833.5</v>
      </c>
      <c r="R24" s="83">
        <v>0</v>
      </c>
      <c r="S24" s="83">
        <v>13833.5</v>
      </c>
      <c r="T24" s="83">
        <v>0</v>
      </c>
      <c r="U24" s="77">
        <f>SUM(V24:X24)</f>
        <v>13833.5</v>
      </c>
      <c r="V24" s="83">
        <v>0</v>
      </c>
      <c r="W24" s="83">
        <v>13833.5</v>
      </c>
      <c r="X24" s="83">
        <v>0</v>
      </c>
      <c r="Y24" s="77">
        <f>SUM(Z24:AB24)</f>
        <v>13833.5</v>
      </c>
      <c r="Z24" s="83">
        <v>0</v>
      </c>
      <c r="AA24" s="83">
        <v>13833.5</v>
      </c>
      <c r="AB24" s="83">
        <v>0</v>
      </c>
      <c r="AC24" s="77">
        <f>SUM(AD24:AF24)</f>
        <v>13833.5</v>
      </c>
      <c r="AD24" s="83">
        <v>0</v>
      </c>
      <c r="AE24" s="83">
        <v>13833.5</v>
      </c>
      <c r="AF24" s="83">
        <v>0</v>
      </c>
      <c r="AG24" s="77">
        <f>SUM(AH24:AJ24)</f>
        <v>13833.5</v>
      </c>
      <c r="AH24" s="83">
        <v>0</v>
      </c>
      <c r="AI24" s="83">
        <v>13833.5</v>
      </c>
      <c r="AJ24" s="83">
        <v>0</v>
      </c>
    </row>
    <row r="25" spans="1:37" ht="157.5" customHeight="1" outlineLevel="3" x14ac:dyDescent="0.3">
      <c r="A25" s="78" t="s">
        <v>58</v>
      </c>
      <c r="B25" s="89" t="s">
        <v>73</v>
      </c>
      <c r="C25" s="80" t="s">
        <v>61</v>
      </c>
      <c r="D25" s="80" t="s">
        <v>61</v>
      </c>
      <c r="E25" s="81">
        <f>SUM(F25:H25)</f>
        <v>4775.8999999999996</v>
      </c>
      <c r="F25" s="82">
        <f t="shared" si="11"/>
        <v>0</v>
      </c>
      <c r="G25" s="82">
        <f>K25+O25+S25+W25</f>
        <v>4775.8999999999996</v>
      </c>
      <c r="H25" s="82">
        <f t="shared" si="11"/>
        <v>0</v>
      </c>
      <c r="I25" s="77">
        <f>SUM(J25:L25)</f>
        <v>1172.4000000000001</v>
      </c>
      <c r="J25" s="83">
        <v>0</v>
      </c>
      <c r="K25" s="83">
        <v>1172.4000000000001</v>
      </c>
      <c r="L25" s="83">
        <v>0</v>
      </c>
      <c r="M25" s="77">
        <f t="shared" si="12"/>
        <v>1138</v>
      </c>
      <c r="N25" s="83">
        <v>0</v>
      </c>
      <c r="O25" s="83">
        <v>1138</v>
      </c>
      <c r="P25" s="83">
        <v>0</v>
      </c>
      <c r="Q25" s="77">
        <f>SUM(R25:T25)</f>
        <v>1172.4000000000001</v>
      </c>
      <c r="R25" s="83">
        <v>0</v>
      </c>
      <c r="S25" s="83">
        <v>1172.4000000000001</v>
      </c>
      <c r="T25" s="83">
        <v>0</v>
      </c>
      <c r="U25" s="77">
        <f>SUM(V25:X25)</f>
        <v>1293.0999999999999</v>
      </c>
      <c r="V25" s="83">
        <v>0</v>
      </c>
      <c r="W25" s="83">
        <v>1293.0999999999999</v>
      </c>
      <c r="X25" s="83">
        <v>0</v>
      </c>
      <c r="Y25" s="77">
        <f>SUM(Z25:AB25)</f>
        <v>0</v>
      </c>
      <c r="Z25" s="83">
        <v>0</v>
      </c>
      <c r="AA25" s="83" t="s">
        <v>224</v>
      </c>
      <c r="AB25" s="83">
        <v>0</v>
      </c>
      <c r="AC25" s="77">
        <f>SUM(AD25:AF25)</f>
        <v>0</v>
      </c>
      <c r="AD25" s="83">
        <v>0</v>
      </c>
      <c r="AE25" s="83" t="s">
        <v>224</v>
      </c>
      <c r="AF25" s="83">
        <v>0</v>
      </c>
      <c r="AG25" s="77">
        <f>SUM(AH25:AJ25)</f>
        <v>0</v>
      </c>
      <c r="AH25" s="83">
        <v>0</v>
      </c>
      <c r="AI25" s="83" t="s">
        <v>224</v>
      </c>
      <c r="AJ25" s="83">
        <v>0</v>
      </c>
    </row>
    <row r="26" spans="1:37" ht="81" customHeight="1" outlineLevel="3" x14ac:dyDescent="0.3">
      <c r="A26" s="78" t="s">
        <v>226</v>
      </c>
      <c r="B26" s="89" t="s">
        <v>228</v>
      </c>
      <c r="C26" s="80" t="s">
        <v>61</v>
      </c>
      <c r="D26" s="80" t="s">
        <v>61</v>
      </c>
      <c r="E26" s="81">
        <f t="shared" ref="E26:E28" si="13">SUM(F26:H26)</f>
        <v>8200.1</v>
      </c>
      <c r="F26" s="82">
        <f t="shared" ref="F26:F28" si="14">J26+N26+R26+V26+Z26+AD26+AH26</f>
        <v>0</v>
      </c>
      <c r="G26" s="82">
        <f t="shared" ref="G26:G28" si="15">K26+O26+S26+W26+AA26+AE26+AI26</f>
        <v>8200.1</v>
      </c>
      <c r="H26" s="82">
        <f t="shared" ref="H26:H28" si="16">L26+P26+T26+X26+AB26+AF26+AJ26</f>
        <v>0</v>
      </c>
      <c r="I26" s="77">
        <v>0</v>
      </c>
      <c r="J26" s="83">
        <v>0</v>
      </c>
      <c r="K26" s="83">
        <v>0</v>
      </c>
      <c r="L26" s="83">
        <v>0</v>
      </c>
      <c r="M26" s="77">
        <f t="shared" si="12"/>
        <v>1171.5</v>
      </c>
      <c r="N26" s="83">
        <v>0</v>
      </c>
      <c r="O26" s="83">
        <f>948.3+223.2</f>
        <v>1171.5</v>
      </c>
      <c r="P26" s="83">
        <v>0</v>
      </c>
      <c r="Q26" s="77">
        <f>SUM(R26:T26)</f>
        <v>1285.8</v>
      </c>
      <c r="R26" s="83">
        <v>0</v>
      </c>
      <c r="S26" s="83">
        <v>1285.8</v>
      </c>
      <c r="T26" s="83">
        <v>0</v>
      </c>
      <c r="U26" s="77">
        <f>SUM(V26:X26)</f>
        <v>1435.7</v>
      </c>
      <c r="V26" s="83">
        <v>0</v>
      </c>
      <c r="W26" s="83">
        <f>1120.7+315</f>
        <v>1435.7</v>
      </c>
      <c r="X26" s="83">
        <v>0</v>
      </c>
      <c r="Y26" s="77">
        <f>SUM(Z26:AB26)</f>
        <v>1435.7</v>
      </c>
      <c r="Z26" s="83">
        <v>0</v>
      </c>
      <c r="AA26" s="83">
        <f>1120.7+315</f>
        <v>1435.7</v>
      </c>
      <c r="AB26" s="83">
        <v>0</v>
      </c>
      <c r="AC26" s="77">
        <f>SUM(AD26:AF26)</f>
        <v>1435.7</v>
      </c>
      <c r="AD26" s="83">
        <v>0</v>
      </c>
      <c r="AE26" s="83">
        <f>1120.7+315</f>
        <v>1435.7</v>
      </c>
      <c r="AF26" s="83">
        <v>0</v>
      </c>
      <c r="AG26" s="77">
        <f>SUM(AH26:AJ26)</f>
        <v>1435.7</v>
      </c>
      <c r="AH26" s="83">
        <v>0</v>
      </c>
      <c r="AI26" s="83">
        <f>1120.7+315</f>
        <v>1435.7</v>
      </c>
      <c r="AJ26" s="83">
        <v>0</v>
      </c>
    </row>
    <row r="27" spans="1:37" ht="105" customHeight="1" outlineLevel="3" x14ac:dyDescent="0.3">
      <c r="A27" s="78" t="s">
        <v>227</v>
      </c>
      <c r="B27" s="89" t="s">
        <v>230</v>
      </c>
      <c r="C27" s="80" t="s">
        <v>61</v>
      </c>
      <c r="D27" s="80" t="s">
        <v>61</v>
      </c>
      <c r="E27" s="81">
        <f t="shared" ref="E27" si="17">SUM(F27:H27)</f>
        <v>552</v>
      </c>
      <c r="F27" s="82">
        <f t="shared" ref="F27" si="18">J27+N27+R27+V27+Z27+AD27+AH27</f>
        <v>0</v>
      </c>
      <c r="G27" s="82">
        <f t="shared" ref="G27" si="19">K27+O27+S27+W27+AA27+AE27+AI27</f>
        <v>552</v>
      </c>
      <c r="H27" s="82">
        <f t="shared" ref="H27" si="20">L27+P27+T27+X27+AB27+AF27+AJ27</f>
        <v>0</v>
      </c>
      <c r="I27" s="77">
        <v>0</v>
      </c>
      <c r="J27" s="83">
        <v>0</v>
      </c>
      <c r="K27" s="83">
        <v>0</v>
      </c>
      <c r="L27" s="83">
        <v>0</v>
      </c>
      <c r="M27" s="77">
        <f t="shared" si="12"/>
        <v>92</v>
      </c>
      <c r="N27" s="83">
        <v>0</v>
      </c>
      <c r="O27" s="83">
        <v>92</v>
      </c>
      <c r="P27" s="83">
        <v>0</v>
      </c>
      <c r="Q27" s="77">
        <f t="shared" ref="Q27:Q30" si="21">SUM(R27:T27)</f>
        <v>92</v>
      </c>
      <c r="R27" s="83">
        <v>0</v>
      </c>
      <c r="S27" s="83">
        <v>92</v>
      </c>
      <c r="T27" s="83">
        <v>0</v>
      </c>
      <c r="U27" s="77">
        <f t="shared" ref="U27:U30" si="22">SUM(V27:X27)</f>
        <v>92</v>
      </c>
      <c r="V27" s="83">
        <v>0</v>
      </c>
      <c r="W27" s="83">
        <v>92</v>
      </c>
      <c r="X27" s="83">
        <v>0</v>
      </c>
      <c r="Y27" s="77">
        <f t="shared" ref="Y27:Y30" si="23">SUM(Z27:AB27)</f>
        <v>92</v>
      </c>
      <c r="Z27" s="83">
        <v>0</v>
      </c>
      <c r="AA27" s="83">
        <v>92</v>
      </c>
      <c r="AB27" s="83">
        <v>0</v>
      </c>
      <c r="AC27" s="77">
        <f t="shared" ref="AC27:AC30" si="24">SUM(AD27:AF27)</f>
        <v>92</v>
      </c>
      <c r="AD27" s="83">
        <v>0</v>
      </c>
      <c r="AE27" s="83">
        <v>92</v>
      </c>
      <c r="AF27" s="83">
        <v>0</v>
      </c>
      <c r="AG27" s="77">
        <f t="shared" ref="AG27:AG30" si="25">SUM(AH27:AJ27)</f>
        <v>92</v>
      </c>
      <c r="AH27" s="83">
        <v>0</v>
      </c>
      <c r="AI27" s="83">
        <v>92</v>
      </c>
      <c r="AJ27" s="83">
        <v>0</v>
      </c>
    </row>
    <row r="28" spans="1:37" ht="103.5" customHeight="1" outlineLevel="3" x14ac:dyDescent="0.3">
      <c r="A28" s="78" t="s">
        <v>232</v>
      </c>
      <c r="B28" s="89" t="s">
        <v>229</v>
      </c>
      <c r="C28" s="80" t="s">
        <v>61</v>
      </c>
      <c r="D28" s="80" t="s">
        <v>61</v>
      </c>
      <c r="E28" s="81">
        <f t="shared" si="13"/>
        <v>207</v>
      </c>
      <c r="F28" s="82">
        <f t="shared" si="14"/>
        <v>0</v>
      </c>
      <c r="G28" s="82">
        <f t="shared" si="15"/>
        <v>207</v>
      </c>
      <c r="H28" s="82">
        <f t="shared" si="16"/>
        <v>0</v>
      </c>
      <c r="I28" s="77">
        <v>0</v>
      </c>
      <c r="J28" s="83">
        <v>0</v>
      </c>
      <c r="K28" s="83">
        <v>0</v>
      </c>
      <c r="L28" s="83">
        <v>0</v>
      </c>
      <c r="M28" s="77">
        <f t="shared" si="12"/>
        <v>34.5</v>
      </c>
      <c r="N28" s="83">
        <v>0</v>
      </c>
      <c r="O28" s="83">
        <v>34.5</v>
      </c>
      <c r="P28" s="83">
        <v>0</v>
      </c>
      <c r="Q28" s="77">
        <f t="shared" si="21"/>
        <v>34.5</v>
      </c>
      <c r="R28" s="83">
        <v>0</v>
      </c>
      <c r="S28" s="83">
        <v>34.5</v>
      </c>
      <c r="T28" s="83">
        <v>0</v>
      </c>
      <c r="U28" s="77">
        <f t="shared" si="22"/>
        <v>34.5</v>
      </c>
      <c r="V28" s="83">
        <v>0</v>
      </c>
      <c r="W28" s="83">
        <v>34.5</v>
      </c>
      <c r="X28" s="83">
        <v>0</v>
      </c>
      <c r="Y28" s="77">
        <f t="shared" si="23"/>
        <v>34.5</v>
      </c>
      <c r="Z28" s="83">
        <v>0</v>
      </c>
      <c r="AA28" s="83">
        <v>34.5</v>
      </c>
      <c r="AB28" s="83">
        <v>0</v>
      </c>
      <c r="AC28" s="77">
        <f t="shared" si="24"/>
        <v>34.5</v>
      </c>
      <c r="AD28" s="83">
        <v>0</v>
      </c>
      <c r="AE28" s="83">
        <v>34.5</v>
      </c>
      <c r="AF28" s="83">
        <v>0</v>
      </c>
      <c r="AG28" s="77">
        <f t="shared" si="25"/>
        <v>34.5</v>
      </c>
      <c r="AH28" s="83">
        <v>0</v>
      </c>
      <c r="AI28" s="83">
        <v>34.5</v>
      </c>
      <c r="AJ28" s="83">
        <v>0</v>
      </c>
    </row>
    <row r="29" spans="1:37" ht="85.5" customHeight="1" outlineLevel="3" x14ac:dyDescent="0.3">
      <c r="A29" s="78" t="s">
        <v>233</v>
      </c>
      <c r="B29" s="89" t="s">
        <v>231</v>
      </c>
      <c r="C29" s="80" t="s">
        <v>61</v>
      </c>
      <c r="D29" s="80" t="s">
        <v>61</v>
      </c>
      <c r="E29" s="81">
        <f t="shared" ref="E29" si="26">SUM(F29:H29)</f>
        <v>207</v>
      </c>
      <c r="F29" s="82">
        <f t="shared" ref="F29" si="27">J29+N29+R29+V29+Z29+AD29+AH29</f>
        <v>0</v>
      </c>
      <c r="G29" s="82">
        <f t="shared" ref="G29" si="28">K29+O29+S29+W29+AA29+AE29+AI29</f>
        <v>207</v>
      </c>
      <c r="H29" s="82">
        <f t="shared" ref="H29" si="29">L29+P29+T29+X29+AB29+AF29+AJ29</f>
        <v>0</v>
      </c>
      <c r="I29" s="77">
        <v>0</v>
      </c>
      <c r="J29" s="83">
        <v>0</v>
      </c>
      <c r="K29" s="83">
        <v>0</v>
      </c>
      <c r="L29" s="83">
        <v>0</v>
      </c>
      <c r="M29" s="77">
        <f t="shared" si="12"/>
        <v>34.5</v>
      </c>
      <c r="N29" s="83">
        <v>0</v>
      </c>
      <c r="O29" s="83">
        <v>34.5</v>
      </c>
      <c r="P29" s="83">
        <v>0</v>
      </c>
      <c r="Q29" s="77">
        <f t="shared" si="21"/>
        <v>34.5</v>
      </c>
      <c r="R29" s="83">
        <v>0</v>
      </c>
      <c r="S29" s="83">
        <v>34.5</v>
      </c>
      <c r="T29" s="83">
        <v>0</v>
      </c>
      <c r="U29" s="77">
        <f t="shared" si="22"/>
        <v>34.5</v>
      </c>
      <c r="V29" s="83">
        <v>0</v>
      </c>
      <c r="W29" s="83">
        <v>34.5</v>
      </c>
      <c r="X29" s="83">
        <v>0</v>
      </c>
      <c r="Y29" s="77">
        <f t="shared" si="23"/>
        <v>34.5</v>
      </c>
      <c r="Z29" s="83">
        <v>0</v>
      </c>
      <c r="AA29" s="83">
        <v>34.5</v>
      </c>
      <c r="AB29" s="83">
        <v>0</v>
      </c>
      <c r="AC29" s="77">
        <f t="shared" si="24"/>
        <v>34.5</v>
      </c>
      <c r="AD29" s="83">
        <v>0</v>
      </c>
      <c r="AE29" s="83">
        <v>34.5</v>
      </c>
      <c r="AF29" s="83">
        <v>0</v>
      </c>
      <c r="AG29" s="77">
        <f t="shared" si="25"/>
        <v>34.5</v>
      </c>
      <c r="AH29" s="83">
        <v>0</v>
      </c>
      <c r="AI29" s="83">
        <v>34.5</v>
      </c>
      <c r="AJ29" s="83">
        <v>0</v>
      </c>
    </row>
    <row r="30" spans="1:37" ht="90" customHeight="1" outlineLevel="3" x14ac:dyDescent="0.3">
      <c r="A30" s="78" t="s">
        <v>234</v>
      </c>
      <c r="B30" s="89" t="s">
        <v>235</v>
      </c>
      <c r="C30" s="80" t="s">
        <v>61</v>
      </c>
      <c r="D30" s="80" t="s">
        <v>61</v>
      </c>
      <c r="E30" s="81">
        <f t="shared" ref="E30" si="30">SUM(F30:H30)</f>
        <v>690</v>
      </c>
      <c r="F30" s="82">
        <f t="shared" ref="F30" si="31">J30+N30+R30+V30+Z30+AD30+AH30</f>
        <v>0</v>
      </c>
      <c r="G30" s="82">
        <f t="shared" ref="G30" si="32">K30+O30+S30+W30+AA30+AE30+AI30</f>
        <v>690</v>
      </c>
      <c r="H30" s="82">
        <f t="shared" ref="H30" si="33">L30+P30+T30+X30+AB30+AF30+AJ30</f>
        <v>0</v>
      </c>
      <c r="I30" s="77">
        <v>0</v>
      </c>
      <c r="J30" s="83">
        <v>0</v>
      </c>
      <c r="K30" s="83">
        <v>0</v>
      </c>
      <c r="L30" s="83">
        <v>0</v>
      </c>
      <c r="M30" s="77">
        <f t="shared" si="12"/>
        <v>115</v>
      </c>
      <c r="N30" s="83">
        <v>0</v>
      </c>
      <c r="O30" s="83">
        <v>115</v>
      </c>
      <c r="P30" s="83">
        <v>0</v>
      </c>
      <c r="Q30" s="77">
        <f t="shared" si="21"/>
        <v>115</v>
      </c>
      <c r="R30" s="83">
        <v>0</v>
      </c>
      <c r="S30" s="83">
        <v>115</v>
      </c>
      <c r="T30" s="83">
        <v>0</v>
      </c>
      <c r="U30" s="77">
        <f t="shared" si="22"/>
        <v>115</v>
      </c>
      <c r="V30" s="83">
        <v>0</v>
      </c>
      <c r="W30" s="83">
        <v>115</v>
      </c>
      <c r="X30" s="83">
        <v>0</v>
      </c>
      <c r="Y30" s="77">
        <f t="shared" si="23"/>
        <v>115</v>
      </c>
      <c r="Z30" s="83">
        <v>0</v>
      </c>
      <c r="AA30" s="83">
        <v>115</v>
      </c>
      <c r="AB30" s="83"/>
      <c r="AC30" s="77">
        <f t="shared" si="24"/>
        <v>115</v>
      </c>
      <c r="AD30" s="83"/>
      <c r="AE30" s="83">
        <v>115</v>
      </c>
      <c r="AF30" s="83">
        <v>0</v>
      </c>
      <c r="AG30" s="77">
        <f t="shared" si="25"/>
        <v>115</v>
      </c>
      <c r="AH30" s="83">
        <v>0</v>
      </c>
      <c r="AI30" s="83">
        <v>115</v>
      </c>
      <c r="AJ30" s="83">
        <v>0</v>
      </c>
    </row>
    <row r="31" spans="1:37" s="76" customFormat="1" ht="56.25" customHeight="1" outlineLevel="1" x14ac:dyDescent="0.25">
      <c r="A31" s="75">
        <v>2</v>
      </c>
      <c r="B31" s="100" t="s">
        <v>209</v>
      </c>
      <c r="C31" s="100"/>
      <c r="D31" s="100"/>
      <c r="E31" s="77">
        <f>SUM(E32:E33)</f>
        <v>974793.29999999981</v>
      </c>
      <c r="F31" s="77">
        <f t="shared" ref="F31:H31" si="34">SUM(F32:F33)</f>
        <v>0</v>
      </c>
      <c r="G31" s="77">
        <f t="shared" si="34"/>
        <v>974793.29999999981</v>
      </c>
      <c r="H31" s="77">
        <f t="shared" si="34"/>
        <v>0</v>
      </c>
      <c r="I31" s="77">
        <f t="shared" ref="I31:P31" si="35">SUM(I32:I33)</f>
        <v>123119.5</v>
      </c>
      <c r="J31" s="77">
        <f t="shared" si="35"/>
        <v>0</v>
      </c>
      <c r="K31" s="77">
        <f>SUM(K32:K33)</f>
        <v>123119.5</v>
      </c>
      <c r="L31" s="77">
        <f t="shared" si="35"/>
        <v>0</v>
      </c>
      <c r="M31" s="77">
        <f t="shared" si="35"/>
        <v>141068.59999999995</v>
      </c>
      <c r="N31" s="77">
        <f t="shared" si="35"/>
        <v>0</v>
      </c>
      <c r="O31" s="77">
        <f t="shared" si="35"/>
        <v>141068.59999999995</v>
      </c>
      <c r="P31" s="77">
        <f t="shared" si="35"/>
        <v>0</v>
      </c>
      <c r="Q31" s="77">
        <f t="shared" ref="Q31:AJ31" si="36">SUM(Q32:Q33)</f>
        <v>145167.19999999998</v>
      </c>
      <c r="R31" s="77">
        <f t="shared" si="36"/>
        <v>0</v>
      </c>
      <c r="S31" s="77">
        <f>SUM(S32:S33)</f>
        <v>145167.19999999998</v>
      </c>
      <c r="T31" s="77">
        <f t="shared" si="36"/>
        <v>0</v>
      </c>
      <c r="U31" s="77">
        <f t="shared" si="36"/>
        <v>141359.5</v>
      </c>
      <c r="V31" s="77">
        <f t="shared" si="36"/>
        <v>0</v>
      </c>
      <c r="W31" s="77">
        <f>SUM(W32:W33)</f>
        <v>141359.5</v>
      </c>
      <c r="X31" s="77">
        <f t="shared" si="36"/>
        <v>0</v>
      </c>
      <c r="Y31" s="77">
        <f t="shared" si="36"/>
        <v>141359.5</v>
      </c>
      <c r="Z31" s="77">
        <f t="shared" si="36"/>
        <v>0</v>
      </c>
      <c r="AA31" s="77">
        <f>SUM(AA32:AA33)</f>
        <v>141359.5</v>
      </c>
      <c r="AB31" s="77">
        <f t="shared" si="36"/>
        <v>0</v>
      </c>
      <c r="AC31" s="77">
        <f t="shared" si="36"/>
        <v>141359.5</v>
      </c>
      <c r="AD31" s="77">
        <f t="shared" si="36"/>
        <v>0</v>
      </c>
      <c r="AE31" s="77">
        <f>SUM(AE32:AE33)</f>
        <v>141359.5</v>
      </c>
      <c r="AF31" s="77">
        <f t="shared" si="36"/>
        <v>0</v>
      </c>
      <c r="AG31" s="77">
        <f t="shared" si="36"/>
        <v>141359.5</v>
      </c>
      <c r="AH31" s="77">
        <f t="shared" si="36"/>
        <v>0</v>
      </c>
      <c r="AI31" s="77">
        <f>SUM(AI32:AI33)</f>
        <v>141359.5</v>
      </c>
      <c r="AJ31" s="77">
        <f t="shared" si="36"/>
        <v>0</v>
      </c>
    </row>
    <row r="32" spans="1:37" ht="37.5" outlineLevel="2" x14ac:dyDescent="0.25">
      <c r="A32" s="87" t="s">
        <v>44</v>
      </c>
      <c r="B32" s="85" t="s">
        <v>8</v>
      </c>
      <c r="C32" s="84" t="s">
        <v>61</v>
      </c>
      <c r="D32" s="84" t="s">
        <v>6</v>
      </c>
      <c r="E32" s="81">
        <f>SUM(F32:H32)</f>
        <v>937319.29999999981</v>
      </c>
      <c r="F32" s="82">
        <f t="shared" ref="F32:H33" si="37">J32+N32+R32+V32+Z32+AD32+AH32</f>
        <v>0</v>
      </c>
      <c r="G32" s="82">
        <f t="shared" si="37"/>
        <v>937319.29999999981</v>
      </c>
      <c r="H32" s="82">
        <f t="shared" si="37"/>
        <v>0</v>
      </c>
      <c r="I32" s="77">
        <f>SUM(J32:L32)</f>
        <v>120447.3</v>
      </c>
      <c r="J32" s="83">
        <v>0</v>
      </c>
      <c r="K32" s="83">
        <f>113934.6+1953.1+4+105+2043.7+267+757.5+2109.3+491.9-1218.8</f>
        <v>120447.3</v>
      </c>
      <c r="L32" s="83">
        <v>0</v>
      </c>
      <c r="M32" s="77">
        <f>SUM(N32:P32)</f>
        <v>135268.29999999996</v>
      </c>
      <c r="N32" s="83">
        <v>0</v>
      </c>
      <c r="O32" s="83">
        <f>71734.8+305.9+2000+1433.2+907.5+21663.9+2058.8+104.6+428+1413.9+1450+1+12846.9+44.4+5485.5+1722.4+163.1+105.8+3557.5+240+48+3180.9+157.2+1502.4+600.1+1290.8+26.9+347+447.8</f>
        <v>135268.29999999996</v>
      </c>
      <c r="P32" s="83">
        <v>0</v>
      </c>
      <c r="Q32" s="77">
        <f>SUM(R32:T32)</f>
        <v>139366.9</v>
      </c>
      <c r="R32" s="83">
        <v>0</v>
      </c>
      <c r="S32" s="83">
        <f>73200.2+305.9+2000+1490.5+927.4+22106.4+2061.1+111.7+428+1457.8+1450+1+13148.9+44.4+7100+1722.4+163.1+95.9+3557.5+240+48+3324.8+151.2+1569.1+624.7+1214.1+28+347+447.8</f>
        <v>139366.9</v>
      </c>
      <c r="T32" s="83">
        <v>0</v>
      </c>
      <c r="U32" s="77">
        <f>SUM(V32:X32)</f>
        <v>135559.20000000001</v>
      </c>
      <c r="V32" s="83">
        <v>0</v>
      </c>
      <c r="W32" s="83">
        <v>135559.20000000001</v>
      </c>
      <c r="X32" s="83">
        <v>0</v>
      </c>
      <c r="Y32" s="77">
        <f>SUM(Z32:AB32)</f>
        <v>135559.20000000001</v>
      </c>
      <c r="Z32" s="83">
        <v>0</v>
      </c>
      <c r="AA32" s="83">
        <v>135559.20000000001</v>
      </c>
      <c r="AB32" s="83">
        <v>0</v>
      </c>
      <c r="AC32" s="77">
        <f>SUM(AD32:AF32)</f>
        <v>135559.20000000001</v>
      </c>
      <c r="AD32" s="83">
        <v>0</v>
      </c>
      <c r="AE32" s="83">
        <v>135559.20000000001</v>
      </c>
      <c r="AF32" s="83">
        <v>0</v>
      </c>
      <c r="AG32" s="77">
        <f>SUM(AH32:AJ32)</f>
        <v>135559.20000000001</v>
      </c>
      <c r="AH32" s="83">
        <v>0</v>
      </c>
      <c r="AI32" s="83">
        <v>135559.20000000001</v>
      </c>
      <c r="AJ32" s="83">
        <v>0</v>
      </c>
    </row>
    <row r="33" spans="1:36" ht="37.5" outlineLevel="2" x14ac:dyDescent="0.25">
      <c r="A33" s="78" t="s">
        <v>45</v>
      </c>
      <c r="B33" s="85" t="s">
        <v>9</v>
      </c>
      <c r="C33" s="84" t="s">
        <v>61</v>
      </c>
      <c r="D33" s="84" t="s">
        <v>6</v>
      </c>
      <c r="E33" s="81">
        <f>SUM(F33:H33)</f>
        <v>37474</v>
      </c>
      <c r="F33" s="82">
        <f t="shared" si="37"/>
        <v>0</v>
      </c>
      <c r="G33" s="82">
        <f t="shared" si="37"/>
        <v>37474</v>
      </c>
      <c r="H33" s="82">
        <f t="shared" si="37"/>
        <v>0</v>
      </c>
      <c r="I33" s="77">
        <f>SUM(J33:L33)</f>
        <v>2672.2000000000003</v>
      </c>
      <c r="J33" s="83">
        <v>0</v>
      </c>
      <c r="K33" s="83">
        <f>5027.6-4-105-2109.3-137.1</f>
        <v>2672.2000000000003</v>
      </c>
      <c r="L33" s="83">
        <v>0</v>
      </c>
      <c r="M33" s="77">
        <f>SUM(N33:P33)</f>
        <v>5800.3</v>
      </c>
      <c r="N33" s="83">
        <v>0</v>
      </c>
      <c r="O33" s="83">
        <v>5800.3</v>
      </c>
      <c r="P33" s="83">
        <v>0</v>
      </c>
      <c r="Q33" s="77">
        <f>SUM(R33:T33)</f>
        <v>5800.3</v>
      </c>
      <c r="R33" s="83">
        <v>0</v>
      </c>
      <c r="S33" s="83">
        <v>5800.3</v>
      </c>
      <c r="T33" s="83">
        <v>0</v>
      </c>
      <c r="U33" s="77">
        <f>SUM(V33:X33)</f>
        <v>5800.3</v>
      </c>
      <c r="V33" s="83">
        <v>0</v>
      </c>
      <c r="W33" s="83">
        <v>5800.3</v>
      </c>
      <c r="X33" s="83">
        <v>0</v>
      </c>
      <c r="Y33" s="77">
        <f>SUM(Z33:AB33)</f>
        <v>5800.3</v>
      </c>
      <c r="Z33" s="83">
        <v>0</v>
      </c>
      <c r="AA33" s="83">
        <v>5800.3</v>
      </c>
      <c r="AB33" s="83">
        <v>0</v>
      </c>
      <c r="AC33" s="77">
        <f>SUM(AD33:AF33)</f>
        <v>5800.3</v>
      </c>
      <c r="AD33" s="83">
        <v>0</v>
      </c>
      <c r="AE33" s="83">
        <v>5800.3</v>
      </c>
      <c r="AF33" s="83">
        <v>0</v>
      </c>
      <c r="AG33" s="77">
        <f>SUM(AH33:AJ33)</f>
        <v>5800.3</v>
      </c>
      <c r="AH33" s="83">
        <v>0</v>
      </c>
      <c r="AI33" s="83">
        <v>5800.3</v>
      </c>
      <c r="AJ33" s="83">
        <v>0</v>
      </c>
    </row>
    <row r="34" spans="1:36" s="76" customFormat="1" ht="47.25" customHeight="1" outlineLevel="1" x14ac:dyDescent="0.25">
      <c r="A34" s="75">
        <v>3</v>
      </c>
      <c r="B34" s="100" t="s">
        <v>205</v>
      </c>
      <c r="C34" s="100"/>
      <c r="D34" s="100"/>
      <c r="E34" s="77">
        <f t="shared" ref="E34:AJ34" si="38">SUM(E35:E37)</f>
        <v>29069</v>
      </c>
      <c r="F34" s="77">
        <f t="shared" si="38"/>
        <v>0</v>
      </c>
      <c r="G34" s="77">
        <f t="shared" si="38"/>
        <v>29069</v>
      </c>
      <c r="H34" s="77">
        <f t="shared" si="38"/>
        <v>0</v>
      </c>
      <c r="I34" s="77">
        <f t="shared" si="38"/>
        <v>3413.8</v>
      </c>
      <c r="J34" s="77">
        <f t="shared" si="38"/>
        <v>0</v>
      </c>
      <c r="K34" s="77">
        <f t="shared" si="38"/>
        <v>3413.8</v>
      </c>
      <c r="L34" s="77">
        <f t="shared" si="38"/>
        <v>0</v>
      </c>
      <c r="M34" s="77">
        <f t="shared" si="38"/>
        <v>4029.8</v>
      </c>
      <c r="N34" s="77">
        <f t="shared" si="38"/>
        <v>0</v>
      </c>
      <c r="O34" s="77">
        <f>SUM(O35:O37)</f>
        <v>4029.8</v>
      </c>
      <c r="P34" s="77">
        <f t="shared" si="38"/>
        <v>0</v>
      </c>
      <c r="Q34" s="77">
        <f t="shared" si="38"/>
        <v>4191</v>
      </c>
      <c r="R34" s="77">
        <f t="shared" si="38"/>
        <v>0</v>
      </c>
      <c r="S34" s="77">
        <f>SUM(S35:S37)</f>
        <v>4191</v>
      </c>
      <c r="T34" s="77">
        <f t="shared" si="38"/>
        <v>0</v>
      </c>
      <c r="U34" s="77">
        <f t="shared" si="38"/>
        <v>4358.5999999999995</v>
      </c>
      <c r="V34" s="77">
        <f t="shared" si="38"/>
        <v>0</v>
      </c>
      <c r="W34" s="77">
        <f>SUM(W35:W37)</f>
        <v>4358.5999999999995</v>
      </c>
      <c r="X34" s="77">
        <f t="shared" si="38"/>
        <v>0</v>
      </c>
      <c r="Y34" s="77">
        <f t="shared" si="38"/>
        <v>4358.5999999999995</v>
      </c>
      <c r="Z34" s="77">
        <f t="shared" si="38"/>
        <v>0</v>
      </c>
      <c r="AA34" s="77">
        <f>SUM(AA35:AA37)</f>
        <v>4358.5999999999995</v>
      </c>
      <c r="AB34" s="77">
        <f t="shared" si="38"/>
        <v>0</v>
      </c>
      <c r="AC34" s="77">
        <f t="shared" si="38"/>
        <v>4358.5999999999995</v>
      </c>
      <c r="AD34" s="77">
        <f t="shared" si="38"/>
        <v>0</v>
      </c>
      <c r="AE34" s="77">
        <f>SUM(AE35:AE37)</f>
        <v>4358.5999999999995</v>
      </c>
      <c r="AF34" s="77">
        <f t="shared" si="38"/>
        <v>0</v>
      </c>
      <c r="AG34" s="77">
        <f t="shared" si="38"/>
        <v>4358.5999999999995</v>
      </c>
      <c r="AH34" s="77">
        <f t="shared" si="38"/>
        <v>0</v>
      </c>
      <c r="AI34" s="77">
        <f>SUM(AI35:AI37)</f>
        <v>4358.5999999999995</v>
      </c>
      <c r="AJ34" s="77">
        <f t="shared" si="38"/>
        <v>0</v>
      </c>
    </row>
    <row r="35" spans="1:36" ht="150" customHeight="1" outlineLevel="2" x14ac:dyDescent="0.25">
      <c r="A35" s="78" t="s">
        <v>46</v>
      </c>
      <c r="B35" s="85" t="s">
        <v>10</v>
      </c>
      <c r="C35" s="80" t="s">
        <v>61</v>
      </c>
      <c r="D35" s="80" t="s">
        <v>61</v>
      </c>
      <c r="E35" s="81">
        <f>SUM(F35:H35)</f>
        <v>7684.4</v>
      </c>
      <c r="F35" s="82">
        <f t="shared" ref="F35:H37" si="39">J35+N35+R35+V35+Z35+AD35+AH35</f>
        <v>0</v>
      </c>
      <c r="G35" s="82">
        <f t="shared" si="39"/>
        <v>7684.4</v>
      </c>
      <c r="H35" s="82">
        <f t="shared" si="39"/>
        <v>0</v>
      </c>
      <c r="I35" s="77">
        <f>SUM(J35:L35)</f>
        <v>622.9</v>
      </c>
      <c r="J35" s="83">
        <v>0</v>
      </c>
      <c r="K35" s="83">
        <v>622.9</v>
      </c>
      <c r="L35" s="83">
        <v>0</v>
      </c>
      <c r="M35" s="77">
        <f>SUM(N35:P35)</f>
        <v>1109.2</v>
      </c>
      <c r="N35" s="83">
        <v>0</v>
      </c>
      <c r="O35" s="83">
        <v>1109.2</v>
      </c>
      <c r="P35" s="83">
        <v>0</v>
      </c>
      <c r="Q35" s="77">
        <f>SUM(R35:T35)</f>
        <v>1153.5</v>
      </c>
      <c r="R35" s="83">
        <v>0</v>
      </c>
      <c r="S35" s="83">
        <v>1153.5</v>
      </c>
      <c r="T35" s="83">
        <v>0</v>
      </c>
      <c r="U35" s="77">
        <f>SUM(V35:X35)</f>
        <v>1199.7</v>
      </c>
      <c r="V35" s="83">
        <v>0</v>
      </c>
      <c r="W35" s="83">
        <v>1199.7</v>
      </c>
      <c r="X35" s="83">
        <v>0</v>
      </c>
      <c r="Y35" s="77">
        <f>SUM(Z35:AB35)</f>
        <v>1199.7</v>
      </c>
      <c r="Z35" s="83">
        <v>0</v>
      </c>
      <c r="AA35" s="83">
        <v>1199.7</v>
      </c>
      <c r="AB35" s="83">
        <v>0</v>
      </c>
      <c r="AC35" s="77">
        <f>SUM(AD35:AF35)</f>
        <v>1199.7</v>
      </c>
      <c r="AD35" s="83">
        <v>0</v>
      </c>
      <c r="AE35" s="83">
        <v>1199.7</v>
      </c>
      <c r="AF35" s="83">
        <v>0</v>
      </c>
      <c r="AG35" s="77">
        <f>SUM(AH35:AJ35)</f>
        <v>1199.7</v>
      </c>
      <c r="AH35" s="83">
        <v>0</v>
      </c>
      <c r="AI35" s="83">
        <v>1199.7</v>
      </c>
      <c r="AJ35" s="83">
        <v>0</v>
      </c>
    </row>
    <row r="36" spans="1:36" ht="75" outlineLevel="2" x14ac:dyDescent="0.25">
      <c r="A36" s="78" t="s">
        <v>47</v>
      </c>
      <c r="B36" s="85" t="s">
        <v>11</v>
      </c>
      <c r="C36" s="84" t="s">
        <v>61</v>
      </c>
      <c r="D36" s="84" t="s">
        <v>6</v>
      </c>
      <c r="E36" s="81">
        <f>SUM(F36:H36)</f>
        <v>21107.000000000004</v>
      </c>
      <c r="F36" s="82">
        <f t="shared" si="39"/>
        <v>0</v>
      </c>
      <c r="G36" s="82">
        <f t="shared" si="39"/>
        <v>21107.000000000004</v>
      </c>
      <c r="H36" s="82">
        <f t="shared" si="39"/>
        <v>0</v>
      </c>
      <c r="I36" s="77">
        <f>SUM(J36:L36)</f>
        <v>2750</v>
      </c>
      <c r="J36" s="83">
        <v>0</v>
      </c>
      <c r="K36" s="83">
        <v>2750</v>
      </c>
      <c r="L36" s="83">
        <v>0</v>
      </c>
      <c r="M36" s="77">
        <f>SUM(N36:P36)</f>
        <v>2883.4</v>
      </c>
      <c r="N36" s="83">
        <v>0</v>
      </c>
      <c r="O36" s="83">
        <v>2883.4</v>
      </c>
      <c r="P36" s="83">
        <v>0</v>
      </c>
      <c r="Q36" s="77">
        <f>SUM(R36:T36)</f>
        <v>2998.8</v>
      </c>
      <c r="R36" s="83">
        <v>0</v>
      </c>
      <c r="S36" s="83">
        <v>2998.8</v>
      </c>
      <c r="T36" s="83">
        <v>0</v>
      </c>
      <c r="U36" s="77">
        <f>SUM(V36:X36)</f>
        <v>3118.7</v>
      </c>
      <c r="V36" s="83">
        <v>0</v>
      </c>
      <c r="W36" s="83">
        <v>3118.7</v>
      </c>
      <c r="X36" s="83">
        <v>0</v>
      </c>
      <c r="Y36" s="77">
        <f>SUM(Z36:AB36)</f>
        <v>3118.7</v>
      </c>
      <c r="Z36" s="83">
        <v>0</v>
      </c>
      <c r="AA36" s="83">
        <v>3118.7</v>
      </c>
      <c r="AB36" s="83">
        <v>0</v>
      </c>
      <c r="AC36" s="77">
        <f>SUM(AD36:AF36)</f>
        <v>3118.7</v>
      </c>
      <c r="AD36" s="83">
        <v>0</v>
      </c>
      <c r="AE36" s="83">
        <v>3118.7</v>
      </c>
      <c r="AF36" s="83">
        <v>0</v>
      </c>
      <c r="AG36" s="77">
        <f>SUM(AH36:AJ36)</f>
        <v>3118.7</v>
      </c>
      <c r="AH36" s="83">
        <v>0</v>
      </c>
      <c r="AI36" s="83">
        <v>3118.7</v>
      </c>
      <c r="AJ36" s="83">
        <v>0</v>
      </c>
    </row>
    <row r="37" spans="1:36" ht="80.25" customHeight="1" outlineLevel="2" x14ac:dyDescent="0.25">
      <c r="A37" s="78" t="s">
        <v>206</v>
      </c>
      <c r="B37" s="85" t="s">
        <v>69</v>
      </c>
      <c r="C37" s="80" t="s">
        <v>61</v>
      </c>
      <c r="D37" s="80" t="s">
        <v>61</v>
      </c>
      <c r="E37" s="81">
        <f>SUM(F37:H37)</f>
        <v>277.59999999999997</v>
      </c>
      <c r="F37" s="82">
        <f t="shared" si="39"/>
        <v>0</v>
      </c>
      <c r="G37" s="82">
        <f t="shared" si="39"/>
        <v>277.59999999999997</v>
      </c>
      <c r="H37" s="82">
        <f t="shared" si="39"/>
        <v>0</v>
      </c>
      <c r="I37" s="77">
        <f>SUM(J37:L37)</f>
        <v>40.9</v>
      </c>
      <c r="J37" s="83">
        <v>0</v>
      </c>
      <c r="K37" s="83">
        <v>40.9</v>
      </c>
      <c r="L37" s="83">
        <v>0</v>
      </c>
      <c r="M37" s="77">
        <f>SUM(N37:P37)</f>
        <v>37.200000000000003</v>
      </c>
      <c r="N37" s="83">
        <v>0</v>
      </c>
      <c r="O37" s="83">
        <v>37.200000000000003</v>
      </c>
      <c r="P37" s="83">
        <v>0</v>
      </c>
      <c r="Q37" s="77">
        <f>SUM(R37:T37)</f>
        <v>38.700000000000003</v>
      </c>
      <c r="R37" s="83">
        <v>0</v>
      </c>
      <c r="S37" s="83">
        <v>38.700000000000003</v>
      </c>
      <c r="T37" s="83">
        <v>0</v>
      </c>
      <c r="U37" s="77">
        <f>SUM(V37:X37)</f>
        <v>40.200000000000003</v>
      </c>
      <c r="V37" s="83">
        <v>0</v>
      </c>
      <c r="W37" s="83">
        <v>40.200000000000003</v>
      </c>
      <c r="X37" s="83">
        <v>0</v>
      </c>
      <c r="Y37" s="77">
        <f>SUM(Z37:AB37)</f>
        <v>40.200000000000003</v>
      </c>
      <c r="Z37" s="83">
        <v>0</v>
      </c>
      <c r="AA37" s="83">
        <v>40.200000000000003</v>
      </c>
      <c r="AB37" s="83">
        <v>0</v>
      </c>
      <c r="AC37" s="77">
        <f>SUM(AD37:AF37)</f>
        <v>40.200000000000003</v>
      </c>
      <c r="AD37" s="83">
        <v>0</v>
      </c>
      <c r="AE37" s="83">
        <v>40.200000000000003</v>
      </c>
      <c r="AF37" s="83">
        <v>0</v>
      </c>
      <c r="AG37" s="77">
        <f>SUM(AH37:AJ37)</f>
        <v>40.200000000000003</v>
      </c>
      <c r="AH37" s="83">
        <v>0</v>
      </c>
      <c r="AI37" s="83">
        <v>40.200000000000003</v>
      </c>
      <c r="AJ37" s="83">
        <v>0</v>
      </c>
    </row>
    <row r="38" spans="1:36" s="76" customFormat="1" ht="47.25" customHeight="1" outlineLevel="1" x14ac:dyDescent="0.25">
      <c r="A38" s="75">
        <v>4</v>
      </c>
      <c r="B38" s="100" t="s">
        <v>207</v>
      </c>
      <c r="C38" s="100"/>
      <c r="D38" s="100"/>
      <c r="E38" s="77">
        <f t="shared" ref="E38:H38" si="40">SUM(E39:E43)</f>
        <v>15830.099999999999</v>
      </c>
      <c r="F38" s="77">
        <f t="shared" si="40"/>
        <v>0</v>
      </c>
      <c r="G38" s="77">
        <f t="shared" si="40"/>
        <v>15830.099999999999</v>
      </c>
      <c r="H38" s="77">
        <f t="shared" si="40"/>
        <v>0</v>
      </c>
      <c r="I38" s="77">
        <f>SUM(I39:I43)</f>
        <v>1511.3999999999999</v>
      </c>
      <c r="J38" s="77">
        <f>SUM(J39:J43)</f>
        <v>0</v>
      </c>
      <c r="K38" s="77">
        <f>SUM(K39:K43)</f>
        <v>1511.3999999999999</v>
      </c>
      <c r="L38" s="77">
        <f>SUM(L39:L42)</f>
        <v>0</v>
      </c>
      <c r="M38" s="77">
        <f>SUM(M39:M43)</f>
        <v>3018.9000000000005</v>
      </c>
      <c r="N38" s="77">
        <f>SUM(N39:N43)</f>
        <v>0</v>
      </c>
      <c r="O38" s="77">
        <f>SUM(O39:O43)</f>
        <v>3018.9000000000005</v>
      </c>
      <c r="P38" s="77">
        <f>SUM(P39:P42)</f>
        <v>0</v>
      </c>
      <c r="Q38" s="77">
        <f>SUM(Q39:Q43)</f>
        <v>2498.1999999999998</v>
      </c>
      <c r="R38" s="77">
        <f>SUM(R39:R43)</f>
        <v>0</v>
      </c>
      <c r="S38" s="77">
        <f>SUM(S39:S43)</f>
        <v>2498.1999999999998</v>
      </c>
      <c r="T38" s="77">
        <f>SUM(T39:T42)</f>
        <v>0</v>
      </c>
      <c r="U38" s="77">
        <f>SUM(U39:U43)</f>
        <v>2200.4</v>
      </c>
      <c r="V38" s="77">
        <f>SUM(V39:V43)</f>
        <v>0</v>
      </c>
      <c r="W38" s="77">
        <f>SUM(W39:W43)</f>
        <v>2200.4</v>
      </c>
      <c r="X38" s="77">
        <f>SUM(X39:X42)</f>
        <v>0</v>
      </c>
      <c r="Y38" s="77">
        <f>SUM(Y39:Y43)</f>
        <v>2200.4</v>
      </c>
      <c r="Z38" s="77">
        <f>SUM(Z39:Z43)</f>
        <v>0</v>
      </c>
      <c r="AA38" s="77">
        <f>SUM(AA39:AA43)</f>
        <v>2200.4</v>
      </c>
      <c r="AB38" s="77">
        <f>SUM(AB39:AB42)</f>
        <v>0</v>
      </c>
      <c r="AC38" s="77">
        <f>SUM(AC39:AC43)</f>
        <v>2200.4</v>
      </c>
      <c r="AD38" s="77">
        <f>SUM(AD39:AD43)</f>
        <v>0</v>
      </c>
      <c r="AE38" s="77">
        <f>SUM(AE39:AE43)</f>
        <v>2200.4</v>
      </c>
      <c r="AF38" s="77">
        <f>SUM(AF39:AF42)</f>
        <v>0</v>
      </c>
      <c r="AG38" s="77">
        <f>SUM(AG39:AG43)</f>
        <v>2200.4</v>
      </c>
      <c r="AH38" s="77">
        <f>SUM(AH39:AH43)</f>
        <v>0</v>
      </c>
      <c r="AI38" s="77">
        <f>SUM(AI39:AI43)</f>
        <v>2200.4</v>
      </c>
      <c r="AJ38" s="77">
        <f>SUM(AJ39:AJ42)</f>
        <v>0</v>
      </c>
    </row>
    <row r="39" spans="1:36" ht="68.25" customHeight="1" outlineLevel="3" x14ac:dyDescent="0.25">
      <c r="A39" s="78" t="s">
        <v>48</v>
      </c>
      <c r="B39" s="85" t="s">
        <v>64</v>
      </c>
      <c r="C39" s="80" t="s">
        <v>61</v>
      </c>
      <c r="D39" s="80" t="s">
        <v>61</v>
      </c>
      <c r="E39" s="81">
        <f>SUM(F39:H39)</f>
        <v>4588.7</v>
      </c>
      <c r="F39" s="82">
        <f t="shared" ref="F39:H43" si="41">J39+N39+R39+V39+Z39+AD39+AH39</f>
        <v>0</v>
      </c>
      <c r="G39" s="82">
        <f t="shared" si="41"/>
        <v>4588.7</v>
      </c>
      <c r="H39" s="82">
        <f t="shared" si="41"/>
        <v>0</v>
      </c>
      <c r="I39" s="77">
        <f>SUM(J39:L39)</f>
        <v>557.09999999999991</v>
      </c>
      <c r="J39" s="83">
        <v>0</v>
      </c>
      <c r="K39" s="83">
        <f>912.8-355.7</f>
        <v>557.09999999999991</v>
      </c>
      <c r="L39" s="83">
        <v>0</v>
      </c>
      <c r="M39" s="77">
        <f>SUM(N39:P39)</f>
        <v>795.2</v>
      </c>
      <c r="N39" s="83">
        <v>0</v>
      </c>
      <c r="O39" s="83">
        <f>166.5+628.7</f>
        <v>795.2</v>
      </c>
      <c r="P39" s="83">
        <v>0</v>
      </c>
      <c r="Q39" s="77">
        <f>SUM(R39:T39)</f>
        <v>638.4</v>
      </c>
      <c r="R39" s="83">
        <v>0</v>
      </c>
      <c r="S39" s="83">
        <f>169.2+469.2</f>
        <v>638.4</v>
      </c>
      <c r="T39" s="83">
        <v>0</v>
      </c>
      <c r="U39" s="77">
        <f>SUM(V39:X39)</f>
        <v>649.5</v>
      </c>
      <c r="V39" s="83">
        <v>0</v>
      </c>
      <c r="W39" s="83">
        <f>171.9+477.6</f>
        <v>649.5</v>
      </c>
      <c r="X39" s="83">
        <v>0</v>
      </c>
      <c r="Y39" s="77">
        <f>SUM(Z39:AB39)</f>
        <v>649.5</v>
      </c>
      <c r="Z39" s="83">
        <v>0</v>
      </c>
      <c r="AA39" s="83">
        <f>171.9+477.6</f>
        <v>649.5</v>
      </c>
      <c r="AB39" s="83">
        <v>0</v>
      </c>
      <c r="AC39" s="77">
        <f>SUM(AD39:AF39)</f>
        <v>649.5</v>
      </c>
      <c r="AD39" s="83">
        <v>0</v>
      </c>
      <c r="AE39" s="83">
        <f>171.9+477.6</f>
        <v>649.5</v>
      </c>
      <c r="AF39" s="83">
        <v>0</v>
      </c>
      <c r="AG39" s="77">
        <f>SUM(AH39:AJ39)</f>
        <v>649.5</v>
      </c>
      <c r="AH39" s="83">
        <v>0</v>
      </c>
      <c r="AI39" s="83">
        <f>171.9+477.6</f>
        <v>649.5</v>
      </c>
      <c r="AJ39" s="83">
        <v>0</v>
      </c>
    </row>
    <row r="40" spans="1:36" ht="69.75" customHeight="1" outlineLevel="3" x14ac:dyDescent="0.25">
      <c r="A40" s="78" t="s">
        <v>49</v>
      </c>
      <c r="B40" s="85" t="s">
        <v>65</v>
      </c>
      <c r="C40" s="80" t="s">
        <v>61</v>
      </c>
      <c r="D40" s="80" t="s">
        <v>61</v>
      </c>
      <c r="E40" s="81">
        <f>SUM(F40:H40)</f>
        <v>10532.199999999999</v>
      </c>
      <c r="F40" s="82">
        <f t="shared" si="41"/>
        <v>0</v>
      </c>
      <c r="G40" s="82">
        <f t="shared" si="41"/>
        <v>10532.199999999999</v>
      </c>
      <c r="H40" s="82">
        <f t="shared" si="41"/>
        <v>0</v>
      </c>
      <c r="I40" s="77">
        <f>SUM(J40:L40)</f>
        <v>954.3</v>
      </c>
      <c r="J40" s="83">
        <v>0</v>
      </c>
      <c r="K40" s="83">
        <f>551.3+403</f>
        <v>954.3</v>
      </c>
      <c r="L40" s="83">
        <v>0</v>
      </c>
      <c r="M40" s="77">
        <f>SUM(N40:P40)</f>
        <v>2084.9</v>
      </c>
      <c r="N40" s="83">
        <v>0</v>
      </c>
      <c r="O40" s="83">
        <f>37+2047.9</f>
        <v>2084.9</v>
      </c>
      <c r="P40" s="83">
        <v>0</v>
      </c>
      <c r="Q40" s="77">
        <f>SUM(R40:T40)</f>
        <v>1859.8</v>
      </c>
      <c r="R40" s="83">
        <v>0</v>
      </c>
      <c r="S40" s="83">
        <f>38.5+1821.3</f>
        <v>1859.8</v>
      </c>
      <c r="T40" s="83">
        <v>0</v>
      </c>
      <c r="U40" s="77">
        <f>SUM(V40:X40)</f>
        <v>1408.3</v>
      </c>
      <c r="V40" s="83">
        <v>0</v>
      </c>
      <c r="W40" s="83">
        <f>40+1368.3</f>
        <v>1408.3</v>
      </c>
      <c r="X40" s="83">
        <v>0</v>
      </c>
      <c r="Y40" s="77">
        <f>SUM(Z40:AB40)</f>
        <v>1408.3</v>
      </c>
      <c r="Z40" s="83">
        <v>0</v>
      </c>
      <c r="AA40" s="83">
        <f>40+1368.3</f>
        <v>1408.3</v>
      </c>
      <c r="AB40" s="83">
        <v>0</v>
      </c>
      <c r="AC40" s="77">
        <f>SUM(AD40:AF40)</f>
        <v>1408.3</v>
      </c>
      <c r="AD40" s="83">
        <v>0</v>
      </c>
      <c r="AE40" s="83">
        <f>40+1368.3</f>
        <v>1408.3</v>
      </c>
      <c r="AF40" s="83">
        <v>0</v>
      </c>
      <c r="AG40" s="77">
        <f>SUM(AH40:AJ40)</f>
        <v>1408.3</v>
      </c>
      <c r="AH40" s="83">
        <v>0</v>
      </c>
      <c r="AI40" s="83">
        <f>40+1368.3</f>
        <v>1408.3</v>
      </c>
      <c r="AJ40" s="83">
        <v>0</v>
      </c>
    </row>
    <row r="41" spans="1:36" ht="80.25" customHeight="1" outlineLevel="3" x14ac:dyDescent="0.25">
      <c r="A41" s="78" t="s">
        <v>50</v>
      </c>
      <c r="B41" s="85" t="s">
        <v>67</v>
      </c>
      <c r="C41" s="80" t="s">
        <v>61</v>
      </c>
      <c r="D41" s="80" t="s">
        <v>61</v>
      </c>
      <c r="E41" s="81">
        <f>SUM(F41:H41)</f>
        <v>709.2</v>
      </c>
      <c r="F41" s="82">
        <f t="shared" si="41"/>
        <v>0</v>
      </c>
      <c r="G41" s="82">
        <f t="shared" si="41"/>
        <v>709.2</v>
      </c>
      <c r="H41" s="82">
        <f t="shared" si="41"/>
        <v>0</v>
      </c>
      <c r="I41" s="77">
        <f>SUM(J41:L41)</f>
        <v>0</v>
      </c>
      <c r="J41" s="83">
        <v>0</v>
      </c>
      <c r="K41" s="83">
        <f>162.3-47.3-115</f>
        <v>0</v>
      </c>
      <c r="L41" s="83">
        <v>0</v>
      </c>
      <c r="M41" s="77">
        <f>SUM(N41:P41)</f>
        <v>138.80000000000001</v>
      </c>
      <c r="N41" s="83">
        <v>0</v>
      </c>
      <c r="O41" s="83">
        <f>46.8+92</f>
        <v>138.80000000000001</v>
      </c>
      <c r="P41" s="83">
        <v>0</v>
      </c>
      <c r="Q41" s="77">
        <f>SUM(R41:T41)</f>
        <v>0</v>
      </c>
      <c r="R41" s="83">
        <v>0</v>
      </c>
      <c r="S41" s="83">
        <v>0</v>
      </c>
      <c r="T41" s="83">
        <v>0</v>
      </c>
      <c r="U41" s="77">
        <f>SUM(V41:X41)</f>
        <v>142.6</v>
      </c>
      <c r="V41" s="83">
        <v>0</v>
      </c>
      <c r="W41" s="83">
        <f>50.6+92</f>
        <v>142.6</v>
      </c>
      <c r="X41" s="83">
        <v>0</v>
      </c>
      <c r="Y41" s="77">
        <f>SUM(Z41:AB41)</f>
        <v>142.6</v>
      </c>
      <c r="Z41" s="83">
        <v>0</v>
      </c>
      <c r="AA41" s="83">
        <f>50.6+92</f>
        <v>142.6</v>
      </c>
      <c r="AB41" s="83">
        <v>0</v>
      </c>
      <c r="AC41" s="77">
        <f>SUM(AD41:AF41)</f>
        <v>142.6</v>
      </c>
      <c r="AD41" s="83">
        <v>0</v>
      </c>
      <c r="AE41" s="83">
        <f>50.6+92</f>
        <v>142.6</v>
      </c>
      <c r="AF41" s="83">
        <v>0</v>
      </c>
      <c r="AG41" s="77">
        <f>SUM(AH41:AJ41)</f>
        <v>142.6</v>
      </c>
      <c r="AH41" s="83">
        <v>0</v>
      </c>
      <c r="AI41" s="83">
        <f>50.6+92</f>
        <v>142.6</v>
      </c>
      <c r="AJ41" s="83">
        <v>0</v>
      </c>
    </row>
    <row r="42" spans="1:36" ht="63" hidden="1" customHeight="1" outlineLevel="3" x14ac:dyDescent="0.25">
      <c r="A42" s="78" t="s">
        <v>51</v>
      </c>
      <c r="B42" s="85" t="s">
        <v>189</v>
      </c>
      <c r="C42" s="80" t="s">
        <v>61</v>
      </c>
      <c r="D42" s="80" t="s">
        <v>61</v>
      </c>
      <c r="E42" s="81">
        <f>SUM(F42:H42)</f>
        <v>0</v>
      </c>
      <c r="F42" s="82">
        <f t="shared" si="41"/>
        <v>0</v>
      </c>
      <c r="G42" s="82">
        <f t="shared" si="41"/>
        <v>0</v>
      </c>
      <c r="H42" s="82">
        <f t="shared" si="41"/>
        <v>0</v>
      </c>
      <c r="I42" s="77">
        <f>SUM(J42:L42)</f>
        <v>0</v>
      </c>
      <c r="J42" s="83">
        <v>0</v>
      </c>
      <c r="K42" s="83">
        <v>0</v>
      </c>
      <c r="L42" s="83">
        <v>0</v>
      </c>
      <c r="M42" s="77">
        <f>SUM(N42:P42)</f>
        <v>0</v>
      </c>
      <c r="N42" s="83">
        <v>0</v>
      </c>
      <c r="O42" s="83">
        <v>0</v>
      </c>
      <c r="P42" s="83">
        <v>0</v>
      </c>
      <c r="Q42" s="77">
        <f>SUM(R42:T42)</f>
        <v>0</v>
      </c>
      <c r="R42" s="83">
        <v>0</v>
      </c>
      <c r="S42" s="83">
        <v>0</v>
      </c>
      <c r="T42" s="83">
        <v>0</v>
      </c>
      <c r="U42" s="77">
        <f>SUM(V42:X42)</f>
        <v>0</v>
      </c>
      <c r="V42" s="83">
        <v>0</v>
      </c>
      <c r="W42" s="83">
        <v>0</v>
      </c>
      <c r="X42" s="83">
        <v>0</v>
      </c>
      <c r="Y42" s="77">
        <f>SUM(Z42:AB42)</f>
        <v>0</v>
      </c>
      <c r="Z42" s="83">
        <v>0</v>
      </c>
      <c r="AA42" s="83">
        <v>0</v>
      </c>
      <c r="AB42" s="83">
        <v>0</v>
      </c>
      <c r="AC42" s="77">
        <f>SUM(AD42:AF42)</f>
        <v>0</v>
      </c>
      <c r="AD42" s="83">
        <v>0</v>
      </c>
      <c r="AE42" s="83">
        <v>0</v>
      </c>
      <c r="AF42" s="83">
        <v>0</v>
      </c>
      <c r="AG42" s="77">
        <f>SUM(AH42:AJ42)</f>
        <v>0</v>
      </c>
      <c r="AH42" s="83">
        <v>0</v>
      </c>
      <c r="AI42" s="83">
        <v>0</v>
      </c>
      <c r="AJ42" s="83">
        <v>0</v>
      </c>
    </row>
    <row r="43" spans="1:36" ht="112.5" hidden="1" outlineLevel="3" x14ac:dyDescent="0.25">
      <c r="A43" s="78" t="s">
        <v>188</v>
      </c>
      <c r="B43" s="85" t="s">
        <v>72</v>
      </c>
      <c r="C43" s="86" t="s">
        <v>61</v>
      </c>
      <c r="D43" s="86" t="s">
        <v>61</v>
      </c>
      <c r="E43" s="81">
        <f>SUM(F43:H43)</f>
        <v>0</v>
      </c>
      <c r="F43" s="82">
        <f t="shared" si="41"/>
        <v>0</v>
      </c>
      <c r="G43" s="82">
        <f t="shared" si="41"/>
        <v>0</v>
      </c>
      <c r="H43" s="82">
        <f t="shared" si="41"/>
        <v>0</v>
      </c>
      <c r="I43" s="77">
        <f>SUM(J43:L43)</f>
        <v>0</v>
      </c>
      <c r="J43" s="83">
        <v>0</v>
      </c>
      <c r="K43" s="83">
        <v>0</v>
      </c>
      <c r="L43" s="83">
        <v>0</v>
      </c>
      <c r="M43" s="77">
        <f>SUM(N43:P43)</f>
        <v>0</v>
      </c>
      <c r="N43" s="83">
        <v>0</v>
      </c>
      <c r="O43" s="83">
        <v>0</v>
      </c>
      <c r="P43" s="83">
        <v>0</v>
      </c>
      <c r="Q43" s="77">
        <f>SUM(R43:T43)</f>
        <v>0</v>
      </c>
      <c r="R43" s="83">
        <v>0</v>
      </c>
      <c r="S43" s="83">
        <v>0</v>
      </c>
      <c r="T43" s="83">
        <v>0</v>
      </c>
      <c r="U43" s="77">
        <f>SUM(V43:X43)</f>
        <v>0</v>
      </c>
      <c r="V43" s="83">
        <v>0</v>
      </c>
      <c r="W43" s="83">
        <v>0</v>
      </c>
      <c r="X43" s="83">
        <v>0</v>
      </c>
      <c r="Y43" s="77">
        <f>SUM(Z43:AB43)</f>
        <v>0</v>
      </c>
      <c r="Z43" s="83">
        <v>0</v>
      </c>
      <c r="AA43" s="83">
        <v>0</v>
      </c>
      <c r="AB43" s="83">
        <v>0</v>
      </c>
      <c r="AC43" s="77">
        <f>SUM(AD43:AF43)</f>
        <v>0</v>
      </c>
      <c r="AD43" s="83">
        <v>0</v>
      </c>
      <c r="AE43" s="83">
        <v>0</v>
      </c>
      <c r="AF43" s="83">
        <v>0</v>
      </c>
      <c r="AG43" s="77">
        <f>SUM(AH43:AJ43)</f>
        <v>0</v>
      </c>
      <c r="AH43" s="83">
        <v>0</v>
      </c>
      <c r="AI43" s="83">
        <v>0</v>
      </c>
      <c r="AJ43" s="83">
        <v>0</v>
      </c>
    </row>
    <row r="48" spans="1:36" x14ac:dyDescent="0.25">
      <c r="E48" s="72"/>
      <c r="F48" s="72"/>
      <c r="G48" s="72"/>
      <c r="H48" s="72"/>
      <c r="I48" s="72"/>
      <c r="J48" s="72"/>
      <c r="K48" s="72"/>
      <c r="L48" s="72">
        <f>L45-L9</f>
        <v>0</v>
      </c>
      <c r="M48" s="72"/>
      <c r="N48" s="72"/>
      <c r="O48" s="72"/>
      <c r="P48" s="72">
        <f>P45-P9</f>
        <v>0</v>
      </c>
      <c r="Q48" s="72"/>
      <c r="R48" s="72"/>
      <c r="S48" s="72"/>
      <c r="T48" s="72">
        <f>T45-T9</f>
        <v>0</v>
      </c>
      <c r="U48" s="72"/>
      <c r="V48" s="72"/>
      <c r="W48" s="72"/>
      <c r="X48" s="72">
        <f>X45-X9</f>
        <v>0</v>
      </c>
      <c r="Y48" s="72"/>
      <c r="Z48" s="72"/>
      <c r="AA48" s="72"/>
      <c r="AB48" s="72">
        <f>AB45-AB9</f>
        <v>0</v>
      </c>
      <c r="AC48" s="72"/>
      <c r="AD48" s="72"/>
      <c r="AE48" s="72"/>
      <c r="AF48" s="72">
        <f>AF45-AF9</f>
        <v>0</v>
      </c>
      <c r="AG48" s="72"/>
      <c r="AH48" s="72"/>
      <c r="AI48" s="72"/>
      <c r="AJ48" s="72">
        <f>AJ45-AJ9</f>
        <v>0</v>
      </c>
    </row>
  </sheetData>
  <autoFilter ref="A4:H7">
    <filterColumn colId="4" showButton="0"/>
    <filterColumn colId="5" showButton="0"/>
    <filterColumn colId="6" showButton="0"/>
  </autoFilter>
  <dataConsolidate/>
  <mergeCells count="33">
    <mergeCell ref="AF1:AJ1"/>
    <mergeCell ref="A4:A7"/>
    <mergeCell ref="B4:B7"/>
    <mergeCell ref="C4:C7"/>
    <mergeCell ref="D4:D7"/>
    <mergeCell ref="E4:H5"/>
    <mergeCell ref="I4:O4"/>
    <mergeCell ref="M5:P5"/>
    <mergeCell ref="M6:M7"/>
    <mergeCell ref="E6:E7"/>
    <mergeCell ref="E2:Z2"/>
    <mergeCell ref="I5:L5"/>
    <mergeCell ref="I6:I7"/>
    <mergeCell ref="F6:H6"/>
    <mergeCell ref="AG6:AG7"/>
    <mergeCell ref="AG5:AJ5"/>
    <mergeCell ref="B14:D14"/>
    <mergeCell ref="B9:D9"/>
    <mergeCell ref="AC5:AF5"/>
    <mergeCell ref="Q5:T5"/>
    <mergeCell ref="Q6:Q7"/>
    <mergeCell ref="U5:X5"/>
    <mergeCell ref="U6:U7"/>
    <mergeCell ref="Y5:AB5"/>
    <mergeCell ref="Y6:Y7"/>
    <mergeCell ref="AC6:AC7"/>
    <mergeCell ref="B10:D10"/>
    <mergeCell ref="B11:D11"/>
    <mergeCell ref="B31:D31"/>
    <mergeCell ref="B34:D34"/>
    <mergeCell ref="B38:D38"/>
    <mergeCell ref="B18:D18"/>
    <mergeCell ref="B22:D22"/>
  </mergeCells>
  <printOptions horizontalCentered="1"/>
  <pageMargins left="0.19685039370078741" right="0" top="0" bottom="0" header="0.31496062992125984" footer="0.31496062992125984"/>
  <pageSetup paperSize="9" scale="35" fitToWidth="2" fitToHeight="2" orientation="landscape" r:id="rId1"/>
  <rowBreaks count="1" manualBreakCount="1">
    <brk id="32" max="4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22" t="s">
        <v>74</v>
      </c>
      <c r="P1" s="122"/>
      <c r="Q1" s="122"/>
      <c r="R1" s="122"/>
      <c r="S1" s="122"/>
      <c r="T1" s="122"/>
    </row>
    <row r="4" spans="1:24" ht="72.75" customHeight="1" x14ac:dyDescent="0.25">
      <c r="A4" s="13" t="s">
        <v>2</v>
      </c>
      <c r="B4" s="14" t="s">
        <v>75</v>
      </c>
      <c r="C4" s="13" t="s">
        <v>4</v>
      </c>
      <c r="D4" s="14" t="s">
        <v>76</v>
      </c>
      <c r="E4" s="14" t="s">
        <v>77</v>
      </c>
      <c r="F4" s="15" t="s">
        <v>78</v>
      </c>
      <c r="G4" s="15" t="s">
        <v>79</v>
      </c>
      <c r="H4" s="15" t="s">
        <v>80</v>
      </c>
      <c r="I4" s="15" t="s">
        <v>81</v>
      </c>
      <c r="J4" s="15"/>
      <c r="K4" s="15" t="s">
        <v>82</v>
      </c>
      <c r="L4" s="16"/>
      <c r="M4" s="16">
        <v>2019</v>
      </c>
      <c r="N4" s="16" t="s">
        <v>83</v>
      </c>
      <c r="O4" s="16" t="s">
        <v>81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18</v>
      </c>
      <c r="B6" s="123" t="s">
        <v>84</v>
      </c>
      <c r="C6" s="21" t="s">
        <v>12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33</v>
      </c>
      <c r="B7" s="123"/>
      <c r="C7" s="25" t="s">
        <v>61</v>
      </c>
      <c r="D7" s="123" t="s">
        <v>85</v>
      </c>
      <c r="E7" s="26" t="s">
        <v>86</v>
      </c>
      <c r="F7" s="16" t="s">
        <v>87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34</v>
      </c>
      <c r="B8" s="123"/>
      <c r="C8" s="25" t="s">
        <v>7</v>
      </c>
      <c r="D8" s="123"/>
      <c r="E8" s="26" t="s">
        <v>88</v>
      </c>
      <c r="F8" s="16" t="s">
        <v>87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35</v>
      </c>
      <c r="B9" s="123"/>
      <c r="C9" s="25" t="s">
        <v>63</v>
      </c>
      <c r="D9" s="123"/>
      <c r="E9" s="26" t="s">
        <v>89</v>
      </c>
      <c r="F9" s="16" t="s">
        <v>87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19</v>
      </c>
      <c r="B10" s="123"/>
      <c r="C10" s="21" t="s">
        <v>13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36</v>
      </c>
      <c r="B11" s="123"/>
      <c r="C11" s="25" t="s">
        <v>61</v>
      </c>
      <c r="D11" s="123" t="s">
        <v>90</v>
      </c>
      <c r="E11" s="123" t="s">
        <v>91</v>
      </c>
      <c r="F11" s="124" t="s">
        <v>87</v>
      </c>
      <c r="G11" s="124">
        <f>(M11+M12+M13+M14)/M10*100</f>
        <v>100</v>
      </c>
      <c r="H11" s="125">
        <v>100</v>
      </c>
      <c r="I11" s="125">
        <v>100</v>
      </c>
      <c r="J11" s="31"/>
      <c r="K11" s="125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37</v>
      </c>
      <c r="B12" s="123"/>
      <c r="C12" s="25" t="s">
        <v>7</v>
      </c>
      <c r="D12" s="123"/>
      <c r="E12" s="123"/>
      <c r="F12" s="124"/>
      <c r="G12" s="124"/>
      <c r="H12" s="126"/>
      <c r="I12" s="126"/>
      <c r="J12" s="32"/>
      <c r="K12" s="126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38</v>
      </c>
      <c r="B13" s="123"/>
      <c r="C13" s="25" t="s">
        <v>63</v>
      </c>
      <c r="D13" s="123"/>
      <c r="E13" s="123"/>
      <c r="F13" s="124"/>
      <c r="G13" s="124"/>
      <c r="H13" s="126"/>
      <c r="I13" s="126"/>
      <c r="J13" s="32"/>
      <c r="K13" s="126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39</v>
      </c>
      <c r="B14" s="123"/>
      <c r="C14" s="25" t="s">
        <v>62</v>
      </c>
      <c r="D14" s="123"/>
      <c r="E14" s="123"/>
      <c r="F14" s="124"/>
      <c r="G14" s="124"/>
      <c r="H14" s="127"/>
      <c r="I14" s="127"/>
      <c r="J14" s="33"/>
      <c r="K14" s="127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20</v>
      </c>
      <c r="B15" s="123"/>
      <c r="C15" s="21" t="s">
        <v>92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40</v>
      </c>
      <c r="B16" s="123"/>
      <c r="C16" s="25" t="s">
        <v>61</v>
      </c>
      <c r="D16" s="128" t="s">
        <v>93</v>
      </c>
      <c r="E16" s="123" t="s">
        <v>94</v>
      </c>
      <c r="F16" s="123"/>
      <c r="G16" s="131">
        <f>M15/50*100</f>
        <v>30</v>
      </c>
      <c r="H16" s="131">
        <f>N15/43*100</f>
        <v>39.534883720930232</v>
      </c>
      <c r="I16" s="131">
        <f>O15/43*100</f>
        <v>34.883720930232556</v>
      </c>
      <c r="J16" s="34"/>
      <c r="K16" s="131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3" t="s">
        <v>95</v>
      </c>
      <c r="V16" s="123"/>
      <c r="W16" s="123"/>
      <c r="X16" s="123"/>
    </row>
    <row r="17" spans="1:25" ht="27" customHeight="1" outlineLevel="3" x14ac:dyDescent="0.25">
      <c r="A17" s="24" t="s">
        <v>41</v>
      </c>
      <c r="B17" s="123"/>
      <c r="C17" s="25" t="s">
        <v>7</v>
      </c>
      <c r="D17" s="129"/>
      <c r="E17" s="123"/>
      <c r="F17" s="124"/>
      <c r="G17" s="132"/>
      <c r="H17" s="132"/>
      <c r="I17" s="132"/>
      <c r="J17" s="35"/>
      <c r="K17" s="132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3"/>
      <c r="V17" s="123"/>
      <c r="W17" s="123"/>
      <c r="X17" s="123"/>
    </row>
    <row r="18" spans="1:25" ht="40.5" customHeight="1" outlineLevel="3" x14ac:dyDescent="0.25">
      <c r="A18" s="24" t="s">
        <v>42</v>
      </c>
      <c r="B18" s="123"/>
      <c r="C18" s="25" t="s">
        <v>63</v>
      </c>
      <c r="D18" s="129"/>
      <c r="E18" s="123"/>
      <c r="F18" s="124"/>
      <c r="G18" s="132"/>
      <c r="H18" s="132"/>
      <c r="I18" s="132"/>
      <c r="J18" s="35"/>
      <c r="K18" s="132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3"/>
      <c r="V18" s="123"/>
      <c r="W18" s="123"/>
      <c r="X18" s="123"/>
    </row>
    <row r="19" spans="1:25" ht="27.75" customHeight="1" outlineLevel="3" x14ac:dyDescent="0.25">
      <c r="A19" s="24" t="s">
        <v>43</v>
      </c>
      <c r="B19" s="123"/>
      <c r="C19" s="36" t="s">
        <v>62</v>
      </c>
      <c r="D19" s="129"/>
      <c r="E19" s="123"/>
      <c r="F19" s="124"/>
      <c r="G19" s="133"/>
      <c r="H19" s="133"/>
      <c r="I19" s="133"/>
      <c r="J19" s="37"/>
      <c r="K19" s="133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3"/>
      <c r="V19" s="123"/>
      <c r="W19" s="123"/>
      <c r="X19" s="123"/>
    </row>
    <row r="20" spans="1:25" ht="147.75" customHeight="1" outlineLevel="3" x14ac:dyDescent="0.25">
      <c r="A20" s="24"/>
      <c r="B20" s="123"/>
      <c r="C20" s="38"/>
      <c r="D20" s="130"/>
      <c r="E20" s="39" t="s">
        <v>96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34" t="s">
        <v>97</v>
      </c>
      <c r="V20" s="135"/>
      <c r="W20" s="135"/>
      <c r="X20" s="135"/>
    </row>
    <row r="21" spans="1:25" ht="22.5" customHeight="1" outlineLevel="3" x14ac:dyDescent="0.25">
      <c r="A21" s="24" t="s">
        <v>40</v>
      </c>
      <c r="B21" s="123"/>
      <c r="C21" s="25" t="s">
        <v>61</v>
      </c>
      <c r="D21" s="40"/>
      <c r="E21" s="123" t="s">
        <v>94</v>
      </c>
      <c r="F21" s="123"/>
      <c r="G21" s="131">
        <f>M20/50*100</f>
        <v>2</v>
      </c>
      <c r="H21" s="131">
        <f>N20/43*100</f>
        <v>2.3255813953488373</v>
      </c>
      <c r="I21" s="34"/>
      <c r="J21" s="34"/>
      <c r="K21" s="131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3" t="s">
        <v>95</v>
      </c>
      <c r="V21" s="123"/>
      <c r="W21" s="123"/>
      <c r="X21" s="123"/>
    </row>
    <row r="22" spans="1:25" ht="27" customHeight="1" outlineLevel="3" x14ac:dyDescent="0.25">
      <c r="A22" s="24" t="s">
        <v>41</v>
      </c>
      <c r="B22" s="123"/>
      <c r="C22" s="25" t="s">
        <v>7</v>
      </c>
      <c r="D22" s="40"/>
      <c r="E22" s="123"/>
      <c r="F22" s="124"/>
      <c r="G22" s="132"/>
      <c r="H22" s="132"/>
      <c r="I22" s="35"/>
      <c r="J22" s="35"/>
      <c r="K22" s="132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3"/>
      <c r="V22" s="123"/>
      <c r="W22" s="123"/>
      <c r="X22" s="123"/>
    </row>
    <row r="23" spans="1:25" ht="40.5" customHeight="1" outlineLevel="3" x14ac:dyDescent="0.25">
      <c r="A23" s="24" t="s">
        <v>42</v>
      </c>
      <c r="B23" s="123"/>
      <c r="C23" s="25" t="s">
        <v>63</v>
      </c>
      <c r="D23" s="40"/>
      <c r="E23" s="123"/>
      <c r="F23" s="124"/>
      <c r="G23" s="132"/>
      <c r="H23" s="132"/>
      <c r="I23" s="35"/>
      <c r="J23" s="35"/>
      <c r="K23" s="132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3"/>
      <c r="V23" s="123"/>
      <c r="W23" s="123"/>
      <c r="X23" s="123"/>
    </row>
    <row r="24" spans="1:25" ht="27.75" customHeight="1" outlineLevel="3" x14ac:dyDescent="0.25">
      <c r="A24" s="24" t="s">
        <v>43</v>
      </c>
      <c r="B24" s="123"/>
      <c r="C24" s="36" t="s">
        <v>62</v>
      </c>
      <c r="D24" s="40"/>
      <c r="E24" s="123"/>
      <c r="F24" s="124"/>
      <c r="G24" s="133"/>
      <c r="H24" s="133"/>
      <c r="I24" s="37"/>
      <c r="J24" s="37"/>
      <c r="K24" s="133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3"/>
      <c r="V24" s="123"/>
      <c r="W24" s="123"/>
      <c r="X24" s="123"/>
    </row>
    <row r="25" spans="1:25" s="41" customFormat="1" ht="47.25" customHeight="1" outlineLevel="2" x14ac:dyDescent="0.25">
      <c r="A25" s="18" t="s">
        <v>54</v>
      </c>
      <c r="B25" s="123"/>
      <c r="C25" s="21" t="s">
        <v>98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56</v>
      </c>
      <c r="B26" s="123"/>
      <c r="C26" s="42" t="s">
        <v>60</v>
      </c>
      <c r="D26" s="123" t="s">
        <v>99</v>
      </c>
      <c r="E26" s="142" t="s">
        <v>100</v>
      </c>
      <c r="F26" s="124" t="s">
        <v>87</v>
      </c>
      <c r="G26" s="124">
        <v>100</v>
      </c>
      <c r="H26" s="125">
        <v>100</v>
      </c>
      <c r="I26" s="31"/>
      <c r="J26" s="31"/>
      <c r="K26" s="125">
        <v>100</v>
      </c>
      <c r="L26" s="124"/>
      <c r="M26" s="124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57</v>
      </c>
      <c r="B27" s="123"/>
      <c r="C27" s="25" t="s">
        <v>55</v>
      </c>
      <c r="D27" s="123"/>
      <c r="E27" s="142"/>
      <c r="F27" s="124"/>
      <c r="G27" s="124"/>
      <c r="H27" s="127"/>
      <c r="I27" s="33"/>
      <c r="J27" s="33"/>
      <c r="K27" s="127"/>
      <c r="L27" s="124"/>
      <c r="M27" s="124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58</v>
      </c>
      <c r="B28" s="123"/>
      <c r="C28" s="25" t="s">
        <v>59</v>
      </c>
      <c r="D28" s="26" t="s">
        <v>101</v>
      </c>
      <c r="E28" s="26" t="s">
        <v>102</v>
      </c>
      <c r="F28" s="16" t="s">
        <v>103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8" t="s">
        <v>104</v>
      </c>
      <c r="V28" s="139"/>
      <c r="W28" s="139"/>
      <c r="X28" s="139"/>
    </row>
    <row r="29" spans="1:25" s="20" customFormat="1" ht="47.25" customHeight="1" outlineLevel="1" x14ac:dyDescent="0.25">
      <c r="A29" s="43">
        <v>2</v>
      </c>
      <c r="B29" s="128" t="s">
        <v>105</v>
      </c>
      <c r="C29" s="44" t="s">
        <v>32</v>
      </c>
      <c r="D29" s="128" t="s">
        <v>106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29"/>
      <c r="C30" s="46" t="s">
        <v>164</v>
      </c>
      <c r="D30" s="129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29"/>
      <c r="C31" s="46" t="s">
        <v>166</v>
      </c>
      <c r="D31" s="129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40" t="s">
        <v>179</v>
      </c>
      <c r="V31" s="141"/>
      <c r="W31" s="141"/>
      <c r="X31" s="141"/>
    </row>
    <row r="32" spans="1:25" s="45" customFormat="1" ht="60.75" thickBot="1" x14ac:dyDescent="0.3">
      <c r="B32" s="129"/>
      <c r="C32" s="46" t="s">
        <v>167</v>
      </c>
      <c r="D32" s="129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40" t="s">
        <v>177</v>
      </c>
      <c r="V32" s="141"/>
      <c r="W32" s="141"/>
      <c r="X32" s="141"/>
      <c r="Y32" s="45" t="s">
        <v>178</v>
      </c>
    </row>
    <row r="33" spans="1:27" ht="45" outlineLevel="3" x14ac:dyDescent="0.25">
      <c r="A33" s="24" t="s">
        <v>44</v>
      </c>
      <c r="B33" s="129"/>
      <c r="C33" s="25" t="s">
        <v>107</v>
      </c>
      <c r="D33" s="129"/>
      <c r="E33" s="50" t="s">
        <v>108</v>
      </c>
      <c r="F33" s="16" t="s">
        <v>109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8" t="s">
        <v>110</v>
      </c>
      <c r="V33" s="139"/>
      <c r="W33" s="139"/>
      <c r="X33" s="139"/>
    </row>
    <row r="34" spans="1:27" ht="60" outlineLevel="3" x14ac:dyDescent="0.25">
      <c r="A34" s="24" t="s">
        <v>45</v>
      </c>
      <c r="B34" s="129"/>
      <c r="C34" s="25" t="s">
        <v>17</v>
      </c>
      <c r="D34" s="129"/>
      <c r="E34" s="50" t="s">
        <v>111</v>
      </c>
      <c r="F34" s="16" t="s">
        <v>112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113</v>
      </c>
      <c r="B35" s="129"/>
      <c r="C35" s="25" t="s">
        <v>114</v>
      </c>
      <c r="D35" s="129"/>
      <c r="E35" s="128" t="s">
        <v>115</v>
      </c>
      <c r="F35" s="125" t="s">
        <v>116</v>
      </c>
      <c r="G35" s="125">
        <v>6</v>
      </c>
      <c r="H35" s="125">
        <v>1</v>
      </c>
      <c r="I35" s="31"/>
      <c r="J35" s="31"/>
      <c r="K35" s="125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6" t="s">
        <v>117</v>
      </c>
      <c r="V35" s="137"/>
      <c r="W35" s="137"/>
      <c r="X35" s="137"/>
      <c r="Y35" s="137" t="s">
        <v>182</v>
      </c>
      <c r="Z35" s="137"/>
      <c r="AA35" s="137"/>
    </row>
    <row r="36" spans="1:27" ht="60" outlineLevel="3" x14ac:dyDescent="0.25">
      <c r="A36" s="24"/>
      <c r="B36" s="130"/>
      <c r="C36" s="25" t="s">
        <v>118</v>
      </c>
      <c r="D36" s="130"/>
      <c r="E36" s="130"/>
      <c r="F36" s="127"/>
      <c r="G36" s="127"/>
      <c r="H36" s="127"/>
      <c r="I36" s="33"/>
      <c r="J36" s="33"/>
      <c r="K36" s="127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23" t="s">
        <v>119</v>
      </c>
      <c r="C37" s="51" t="s">
        <v>14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46</v>
      </c>
      <c r="B38" s="123"/>
      <c r="C38" s="2" t="s">
        <v>8</v>
      </c>
      <c r="D38" s="26" t="s">
        <v>120</v>
      </c>
      <c r="E38" s="52" t="s">
        <v>121</v>
      </c>
      <c r="F38" s="16" t="s">
        <v>87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47</v>
      </c>
      <c r="B39" s="123"/>
      <c r="C39" s="2" t="s">
        <v>9</v>
      </c>
      <c r="D39" s="26" t="s">
        <v>122</v>
      </c>
      <c r="E39" s="52" t="s">
        <v>123</v>
      </c>
      <c r="F39" s="16" t="s">
        <v>124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23" t="s">
        <v>125</v>
      </c>
      <c r="C40" s="51" t="s">
        <v>15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48</v>
      </c>
      <c r="B41" s="123"/>
      <c r="C41" s="143" t="s">
        <v>10</v>
      </c>
      <c r="D41" s="144" t="s">
        <v>126</v>
      </c>
      <c r="E41" s="52" t="s">
        <v>127</v>
      </c>
      <c r="F41" s="16" t="s">
        <v>128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23"/>
      <c r="C42" s="143"/>
      <c r="D42" s="144"/>
      <c r="E42" s="52" t="s">
        <v>129</v>
      </c>
      <c r="F42" s="16" t="s">
        <v>128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49</v>
      </c>
      <c r="B43" s="123"/>
      <c r="C43" s="2" t="s">
        <v>11</v>
      </c>
      <c r="D43" s="145" t="s">
        <v>130</v>
      </c>
      <c r="E43" s="52" t="s">
        <v>131</v>
      </c>
      <c r="F43" s="16" t="s">
        <v>128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50</v>
      </c>
      <c r="B44" s="123"/>
      <c r="C44" s="143" t="s">
        <v>69</v>
      </c>
      <c r="D44" s="145"/>
      <c r="E44" s="53" t="s">
        <v>132</v>
      </c>
      <c r="F44" s="16" t="s">
        <v>128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23"/>
      <c r="C45" s="143"/>
      <c r="D45" s="145"/>
      <c r="E45" s="54" t="s">
        <v>133</v>
      </c>
      <c r="F45" s="16" t="s">
        <v>128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25" t="s">
        <v>51</v>
      </c>
      <c r="B46" s="123"/>
      <c r="C46" s="143" t="s">
        <v>70</v>
      </c>
      <c r="D46" s="145"/>
      <c r="E46" s="39" t="s">
        <v>134</v>
      </c>
      <c r="F46" s="16" t="s">
        <v>135</v>
      </c>
      <c r="G46" s="16" t="s">
        <v>136</v>
      </c>
      <c r="H46" s="16" t="s">
        <v>136</v>
      </c>
      <c r="I46" s="16"/>
      <c r="J46" s="16"/>
      <c r="K46" s="16" t="s">
        <v>136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27"/>
      <c r="B47" s="123"/>
      <c r="C47" s="143"/>
      <c r="D47" s="145"/>
      <c r="E47" s="39" t="s">
        <v>137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28" t="s">
        <v>138</v>
      </c>
      <c r="C48" s="51" t="s">
        <v>16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21</v>
      </c>
      <c r="B49" s="129"/>
      <c r="C49" s="2" t="s">
        <v>64</v>
      </c>
      <c r="D49" s="128" t="s">
        <v>139</v>
      </c>
      <c r="E49" s="123" t="s">
        <v>140</v>
      </c>
      <c r="F49" s="124" t="s">
        <v>141</v>
      </c>
      <c r="G49" s="124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22</v>
      </c>
      <c r="B50" s="129"/>
      <c r="C50" s="2" t="s">
        <v>65</v>
      </c>
      <c r="D50" s="129"/>
      <c r="E50" s="123"/>
      <c r="F50" s="124"/>
      <c r="G50" s="124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23</v>
      </c>
      <c r="B51" s="129"/>
      <c r="C51" s="2" t="s">
        <v>66</v>
      </c>
      <c r="D51" s="129"/>
      <c r="E51" s="123"/>
      <c r="F51" s="124"/>
      <c r="G51" s="124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24</v>
      </c>
      <c r="B52" s="129"/>
      <c r="C52" s="2" t="s">
        <v>67</v>
      </c>
      <c r="D52" s="129"/>
      <c r="E52" s="123"/>
      <c r="F52" s="124"/>
      <c r="G52" s="124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25</v>
      </c>
      <c r="B53" s="129"/>
      <c r="C53" s="2" t="s">
        <v>68</v>
      </c>
      <c r="D53" s="130"/>
      <c r="E53" s="123"/>
      <c r="F53" s="124"/>
      <c r="G53" s="124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29"/>
      <c r="C54" s="3" t="s">
        <v>142</v>
      </c>
      <c r="D54" s="128" t="s">
        <v>142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29"/>
      <c r="C55" s="1" t="s">
        <v>143</v>
      </c>
      <c r="D55" s="129"/>
      <c r="E55" s="39" t="s">
        <v>144</v>
      </c>
      <c r="F55" s="24" t="s">
        <v>145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30"/>
      <c r="C56" s="1" t="s">
        <v>146</v>
      </c>
      <c r="D56" s="130"/>
      <c r="E56" s="39" t="s">
        <v>147</v>
      </c>
      <c r="F56" s="24" t="s">
        <v>145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180</v>
      </c>
      <c r="V56" s="57" t="s">
        <v>181</v>
      </c>
    </row>
    <row r="57" spans="1:22" s="20" customFormat="1" ht="64.5" customHeight="1" outlineLevel="1" x14ac:dyDescent="0.25">
      <c r="A57" s="18">
        <v>6</v>
      </c>
      <c r="B57" s="123" t="s">
        <v>148</v>
      </c>
      <c r="C57" s="51" t="s">
        <v>149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46" t="s">
        <v>29</v>
      </c>
      <c r="B58" s="123"/>
      <c r="C58" s="147" t="s">
        <v>150</v>
      </c>
      <c r="D58" s="123" t="s">
        <v>151</v>
      </c>
      <c r="E58" s="39" t="s">
        <v>152</v>
      </c>
      <c r="F58" s="26" t="s">
        <v>153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46"/>
      <c r="B59" s="123"/>
      <c r="C59" s="147"/>
      <c r="D59" s="123"/>
      <c r="E59" s="39" t="s">
        <v>154</v>
      </c>
      <c r="F59" s="26" t="s">
        <v>155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30</v>
      </c>
      <c r="B60" s="123"/>
      <c r="C60" s="58" t="s">
        <v>52</v>
      </c>
      <c r="D60" s="26" t="s">
        <v>156</v>
      </c>
      <c r="E60" s="39" t="s">
        <v>157</v>
      </c>
      <c r="F60" s="26" t="s">
        <v>87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31</v>
      </c>
      <c r="B61" s="123"/>
      <c r="C61" s="58" t="s">
        <v>53</v>
      </c>
      <c r="D61" s="26" t="s">
        <v>158</v>
      </c>
      <c r="E61" s="39" t="s">
        <v>159</v>
      </c>
      <c r="F61" s="26" t="s">
        <v>160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2025-02-06T09:13:14Z</dcterms:modified>
</cp:coreProperties>
</file>